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harts/chart1.xml" ContentType="application/vnd.openxmlformats-officedocument.drawingml.chart+xml"/>
  <Override PartName="/xl/drawings/drawing5.xml" ContentType="application/vnd.openxmlformats-officedocument.drawing+xml"/>
  <Override PartName="/xl/comments7.xml" ContentType="application/vnd.openxmlformats-officedocument.spreadsheetml.comments+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ml.chartshapes+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omments8.xml" ContentType="application/vnd.openxmlformats-officedocument.spreadsheetml.comments+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xml"/>
  <Override PartName="/xl/charts/chart8.xml" ContentType="application/vnd.openxmlformats-officedocument.drawingml.chart+xml"/>
  <Override PartName="/xl/theme/themeOverride1.xml" ContentType="application/vnd.openxmlformats-officedocument.themeOverride+xml"/>
  <Override PartName="/xl/drawings/drawing12.xml" ContentType="application/vnd.openxmlformats-officedocument.drawing+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codeName="ThisWorkbook"/>
  <mc:AlternateContent xmlns:mc="http://schemas.openxmlformats.org/markup-compatibility/2006">
    <mc:Choice Requires="x15">
      <x15ac:absPath xmlns:x15ac="http://schemas.microsoft.com/office/spreadsheetml/2010/11/ac" url="https://d.docs.live.net/dfd23f577e138588/Documents/"/>
    </mc:Choice>
  </mc:AlternateContent>
  <xr:revisionPtr revIDLastSave="0" documentId="8_{2C113EC7-82D6-4A4F-BD29-2B7E08454E51}" xr6:coauthVersionLast="47" xr6:coauthVersionMax="47" xr10:uidLastSave="{00000000-0000-0000-0000-000000000000}"/>
  <bookViews>
    <workbookView xWindow="0" yWindow="660" windowWidth="30240" windowHeight="17800" tabRatio="775" firstSheet="3" activeTab="5" xr2:uid="{00000000-000D-0000-FFFF-FFFF00000000}"/>
  </bookViews>
  <sheets>
    <sheet name="Cover &gt;&gt;&gt;" sheetId="31" r:id="rId1"/>
    <sheet name="Projections &gt;&gt;&gt;" sheetId="42" r:id="rId2"/>
    <sheet name="AsReported" sheetId="6" r:id="rId3"/>
    <sheet name="Restatements" sheetId="18" r:id="rId4"/>
    <sheet name="RevAssumptions" sheetId="32" r:id="rId5"/>
    <sheet name="Valuation &gt;&gt;&gt;" sheetId="26" r:id="rId6"/>
    <sheet name="WACC" sheetId="43" r:id="rId7"/>
    <sheet name="Terminal WACC" sheetId="44" r:id="rId8"/>
    <sheet name="TV" sheetId="40" r:id="rId9"/>
    <sheet name="DCF" sheetId="12" r:id="rId10"/>
    <sheet name="TradingMultiples" sheetId="17" r:id="rId11"/>
    <sheet name="FootballField" sheetId="19" r:id="rId12"/>
    <sheet name="FF_presentation" sheetId="46" r:id="rId13"/>
    <sheet name="Ratios Summary" sheetId="47" r:id="rId14"/>
    <sheet name="Graphs" sheetId="48" r:id="rId15"/>
    <sheet name="Comps data" sheetId="45" state="hidden" r:id="rId16"/>
    <sheet name="Benchmark" sheetId="41" state="hidden" r:id="rId17"/>
    <sheet name="SlidesBackup" sheetId="27" state="hidden" r:id="rId18"/>
    <sheet name="Backups" sheetId="39" state="hidden" r:id="rId19"/>
    <sheet name="DA Schedules" sheetId="28" state="hidden" r:id="rId20"/>
  </sheets>
  <externalReferences>
    <externalReference r:id="rId21"/>
    <externalReference r:id="rId22"/>
  </externalReferences>
  <definedNames>
    <definedName name="_xlnm._FilterDatabase" localSheetId="9" hidden="1">DCF!#REF!</definedName>
    <definedName name="_xlnm._FilterDatabase" localSheetId="12" hidden="1">FF_presentation!#REF!</definedName>
    <definedName name="_xlnm._FilterDatabase" localSheetId="11" hidden="1">FootballField!#REF!</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40218.8268634259</definedName>
    <definedName name="IQ_NTM" hidden="1">6000</definedName>
    <definedName name="IQ_TODAY" hidden="1">0</definedName>
    <definedName name="IQ_WEEK" hidden="1">50000</definedName>
    <definedName name="IQ_YTD" hidden="1">3000</definedName>
    <definedName name="_xlnm.Print_Area" localSheetId="17">SlidesBackup!$A$1:$J$332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44" l="1"/>
  <c r="E7" i="47"/>
  <c r="K57" i="18"/>
  <c r="J57" i="18"/>
  <c r="M56" i="18"/>
  <c r="J55" i="18"/>
  <c r="K55" i="18" s="1"/>
  <c r="L55" i="18" s="1"/>
  <c r="J56" i="18"/>
  <c r="I54" i="18"/>
  <c r="G54" i="18"/>
  <c r="F73" i="18"/>
  <c r="D55" i="18" s="1"/>
  <c r="M55" i="18" l="1"/>
  <c r="J125" i="18" l="1"/>
  <c r="J19" i="32"/>
  <c r="C29" i="48"/>
  <c r="D29" i="48"/>
  <c r="E29" i="48"/>
  <c r="F29" i="48"/>
  <c r="G29" i="48"/>
  <c r="C32" i="48"/>
  <c r="C33" i="48"/>
  <c r="B32" i="48"/>
  <c r="B29" i="48"/>
  <c r="B3" i="48"/>
  <c r="Q15" i="32"/>
  <c r="M10" i="17"/>
  <c r="D21" i="47"/>
  <c r="C26" i="47"/>
  <c r="E26" i="47"/>
  <c r="C27" i="47"/>
  <c r="E27" i="47"/>
  <c r="C52" i="19"/>
  <c r="M44" i="47"/>
  <c r="M43" i="47"/>
  <c r="M42" i="47"/>
  <c r="M41" i="47"/>
  <c r="M40" i="47"/>
  <c r="K40" i="47"/>
  <c r="D20" i="47"/>
  <c r="E21" i="47"/>
  <c r="F21" i="47"/>
  <c r="C23" i="47"/>
  <c r="E23" i="47"/>
  <c r="C24" i="47"/>
  <c r="E24" i="47"/>
  <c r="C25" i="47"/>
  <c r="E25" i="47"/>
  <c r="C30" i="47"/>
  <c r="C31" i="47"/>
  <c r="L32" i="47"/>
  <c r="M32" i="47"/>
  <c r="N32" i="47"/>
  <c r="L33" i="47"/>
  <c r="M33" i="47"/>
  <c r="N33" i="47"/>
  <c r="M35" i="47"/>
  <c r="K35" i="47"/>
  <c r="J35" i="47"/>
  <c r="I35" i="47"/>
  <c r="I24" i="47"/>
  <c r="J24" i="47"/>
  <c r="K24" i="47"/>
  <c r="L24" i="47"/>
  <c r="M24" i="47"/>
  <c r="N24" i="47"/>
  <c r="I27" i="47"/>
  <c r="J27" i="47"/>
  <c r="K27" i="47"/>
  <c r="L27" i="47"/>
  <c r="M27" i="47"/>
  <c r="N27" i="47"/>
  <c r="I28" i="47"/>
  <c r="J28" i="47"/>
  <c r="K28" i="47"/>
  <c r="L28" i="47"/>
  <c r="M28" i="47"/>
  <c r="N28" i="47"/>
  <c r="I29" i="47"/>
  <c r="J29" i="47"/>
  <c r="K29" i="47"/>
  <c r="L29" i="47"/>
  <c r="M29" i="47"/>
  <c r="N29" i="47"/>
  <c r="I30" i="47"/>
  <c r="J30" i="47"/>
  <c r="K30" i="47"/>
  <c r="L30" i="47"/>
  <c r="M30" i="47"/>
  <c r="N30" i="47"/>
  <c r="L23" i="47"/>
  <c r="M23" i="47"/>
  <c r="N23" i="47"/>
  <c r="K23" i="47"/>
  <c r="J23" i="47"/>
  <c r="I23" i="47"/>
  <c r="F106" i="18"/>
  <c r="F16" i="47"/>
  <c r="E16" i="47"/>
  <c r="F6" i="47"/>
  <c r="G17" i="18"/>
  <c r="H17" i="18"/>
  <c r="I17" i="18"/>
  <c r="E6" i="47"/>
  <c r="F15" i="47"/>
  <c r="E15" i="47"/>
  <c r="H74" i="12"/>
  <c r="F14" i="47"/>
  <c r="I74" i="12"/>
  <c r="E14" i="47"/>
  <c r="F13" i="47"/>
  <c r="F5" i="47"/>
  <c r="E5" i="47"/>
  <c r="E13" i="47"/>
  <c r="F8" i="47"/>
  <c r="E8" i="47"/>
  <c r="F7" i="47"/>
  <c r="I86" i="6"/>
  <c r="H73" i="18"/>
  <c r="J54" i="18"/>
  <c r="I86" i="18"/>
  <c r="I87" i="18"/>
  <c r="I88" i="18"/>
  <c r="I89" i="18"/>
  <c r="I90" i="18"/>
  <c r="I91" i="18"/>
  <c r="L29" i="17"/>
  <c r="I79" i="18"/>
  <c r="I80" i="18"/>
  <c r="I81" i="18"/>
  <c r="I82" i="18"/>
  <c r="L30" i="17"/>
  <c r="I96" i="18"/>
  <c r="L31" i="17"/>
  <c r="L33" i="17"/>
  <c r="H29" i="17"/>
  <c r="H30" i="17"/>
  <c r="H31" i="17"/>
  <c r="H33" i="17"/>
  <c r="E19" i="40"/>
  <c r="K54" i="18"/>
  <c r="L54" i="18"/>
  <c r="M54" i="18"/>
  <c r="N54" i="18"/>
  <c r="I24" i="18"/>
  <c r="I131" i="18"/>
  <c r="J131" i="18"/>
  <c r="K131" i="18"/>
  <c r="L131" i="18"/>
  <c r="M131" i="18"/>
  <c r="N131" i="18"/>
  <c r="N24" i="18"/>
  <c r="J87" i="18"/>
  <c r="K87" i="18"/>
  <c r="L87" i="18"/>
  <c r="M87" i="18"/>
  <c r="N87" i="18"/>
  <c r="J88" i="18"/>
  <c r="K88" i="18"/>
  <c r="L88" i="18"/>
  <c r="M88" i="18"/>
  <c r="N88" i="18"/>
  <c r="I73" i="18"/>
  <c r="I74" i="18"/>
  <c r="H74" i="18"/>
  <c r="I127" i="18"/>
  <c r="I10" i="18"/>
  <c r="I149" i="18"/>
  <c r="J149" i="18"/>
  <c r="K149" i="18"/>
  <c r="L149" i="18"/>
  <c r="G74" i="18"/>
  <c r="F74" i="18"/>
  <c r="G127" i="18"/>
  <c r="G10" i="18"/>
  <c r="G149" i="18"/>
  <c r="H127" i="18"/>
  <c r="H10" i="18"/>
  <c r="H149" i="18"/>
  <c r="M149" i="18"/>
  <c r="I65" i="18"/>
  <c r="I105" i="18"/>
  <c r="J105" i="18"/>
  <c r="K105" i="18"/>
  <c r="L105" i="18"/>
  <c r="M105" i="18"/>
  <c r="I66" i="18"/>
  <c r="I13" i="18"/>
  <c r="I107" i="18"/>
  <c r="J107" i="18"/>
  <c r="K107" i="18"/>
  <c r="L107" i="18"/>
  <c r="M107" i="18"/>
  <c r="I69" i="18"/>
  <c r="J69" i="18"/>
  <c r="K69" i="18"/>
  <c r="L69" i="18"/>
  <c r="M69" i="18"/>
  <c r="N149" i="18"/>
  <c r="N105" i="18"/>
  <c r="N107" i="18"/>
  <c r="N69" i="18"/>
  <c r="N10" i="43" a="1"/>
  <c r="N10" i="43" s="1"/>
  <c r="D25" i="43"/>
  <c r="D45" i="43"/>
  <c r="D46" i="43"/>
  <c r="D38" i="43"/>
  <c r="D41" i="43"/>
  <c r="D32" i="44"/>
  <c r="D38" i="44"/>
  <c r="D41" i="44"/>
  <c r="E6" i="44"/>
  <c r="L6" i="44" s="1"/>
  <c r="E7" i="44"/>
  <c r="M7" i="44" s="1"/>
  <c r="Q7" i="44" s="1"/>
  <c r="E8" i="44"/>
  <c r="M8" i="44" s="1"/>
  <c r="Q8" i="44" s="1"/>
  <c r="E9" i="44"/>
  <c r="M9" i="44" s="1"/>
  <c r="Q9" i="44" s="1"/>
  <c r="E10" i="44"/>
  <c r="M10" i="44" s="1"/>
  <c r="E11" i="44"/>
  <c r="M11" i="44" s="1"/>
  <c r="Q11" i="44" s="1"/>
  <c r="G5" i="6"/>
  <c r="H5" i="6"/>
  <c r="I5" i="6"/>
  <c r="J5" i="6"/>
  <c r="K5" i="6"/>
  <c r="L5" i="6"/>
  <c r="M5" i="6"/>
  <c r="N5" i="6"/>
  <c r="N5" i="12"/>
  <c r="I5" i="12"/>
  <c r="N19" i="12"/>
  <c r="J5" i="12"/>
  <c r="J19" i="12"/>
  <c r="J24" i="18"/>
  <c r="I109" i="18"/>
  <c r="J109" i="18"/>
  <c r="I26" i="18"/>
  <c r="I133" i="18"/>
  <c r="J133" i="18"/>
  <c r="J157" i="18"/>
  <c r="I67" i="18"/>
  <c r="I68" i="18"/>
  <c r="I71" i="18"/>
  <c r="K5" i="12"/>
  <c r="K19" i="12"/>
  <c r="K24" i="18"/>
  <c r="K109" i="18"/>
  <c r="K133" i="18"/>
  <c r="K157" i="18"/>
  <c r="L5" i="12"/>
  <c r="L19" i="12"/>
  <c r="L24" i="18"/>
  <c r="L133" i="18"/>
  <c r="L157" i="18"/>
  <c r="M5" i="12"/>
  <c r="M19" i="12"/>
  <c r="M24" i="18"/>
  <c r="M133" i="18"/>
  <c r="M157" i="18"/>
  <c r="N133" i="18"/>
  <c r="N157" i="18"/>
  <c r="I35" i="12"/>
  <c r="I36" i="12"/>
  <c r="I34" i="12"/>
  <c r="I38" i="12"/>
  <c r="K56" i="12"/>
  <c r="H38" i="46" s="1"/>
  <c r="K55" i="12"/>
  <c r="H37" i="46" s="1"/>
  <c r="I14" i="18"/>
  <c r="I15" i="18"/>
  <c r="I16" i="18"/>
  <c r="G19" i="17"/>
  <c r="E25" i="17"/>
  <c r="E29" i="17"/>
  <c r="E30" i="17"/>
  <c r="E31" i="17"/>
  <c r="F25" i="17"/>
  <c r="F29" i="17"/>
  <c r="F30" i="17"/>
  <c r="F31" i="17"/>
  <c r="G29" i="17"/>
  <c r="G30" i="17"/>
  <c r="G31" i="17"/>
  <c r="I21" i="18"/>
  <c r="I19" i="17"/>
  <c r="I25" i="17"/>
  <c r="I27" i="17"/>
  <c r="I29" i="17"/>
  <c r="I30" i="17"/>
  <c r="I31" i="17"/>
  <c r="I32" i="17"/>
  <c r="J25" i="17"/>
  <c r="J27" i="17"/>
  <c r="J29" i="17"/>
  <c r="J30" i="17"/>
  <c r="J31" i="17"/>
  <c r="J32" i="17"/>
  <c r="E38" i="46"/>
  <c r="E37" i="46"/>
  <c r="E39" i="46"/>
  <c r="K29" i="17"/>
  <c r="K30" i="17"/>
  <c r="K31" i="17"/>
  <c r="I25" i="18"/>
  <c r="I27" i="18"/>
  <c r="I28" i="18"/>
  <c r="I30" i="18"/>
  <c r="I31" i="18"/>
  <c r="K19" i="17"/>
  <c r="M25" i="17"/>
  <c r="M31" i="17"/>
  <c r="M32" i="17"/>
  <c r="N25" i="17"/>
  <c r="N31" i="17"/>
  <c r="N32" i="17"/>
  <c r="C38" i="46"/>
  <c r="C37" i="46"/>
  <c r="C39" i="46"/>
  <c r="O31" i="17"/>
  <c r="P31" i="17"/>
  <c r="F25" i="18"/>
  <c r="F86" i="18"/>
  <c r="F87" i="18"/>
  <c r="F88" i="18"/>
  <c r="F89" i="18"/>
  <c r="F50" i="18"/>
  <c r="G25" i="18"/>
  <c r="G86" i="18"/>
  <c r="G87" i="18"/>
  <c r="G88" i="18"/>
  <c r="G89" i="18"/>
  <c r="G50" i="18"/>
  <c r="H25" i="18"/>
  <c r="H86" i="18"/>
  <c r="H87" i="18"/>
  <c r="H88" i="18"/>
  <c r="H89" i="18"/>
  <c r="H50" i="18"/>
  <c r="I50" i="18"/>
  <c r="F24" i="18"/>
  <c r="F90" i="18"/>
  <c r="G24" i="18"/>
  <c r="G90" i="18"/>
  <c r="H24" i="18"/>
  <c r="H90" i="18"/>
  <c r="I114" i="18"/>
  <c r="J112" i="18"/>
  <c r="J15" i="32"/>
  <c r="I15" i="32"/>
  <c r="I19" i="32"/>
  <c r="K19" i="32"/>
  <c r="D32" i="48" s="1"/>
  <c r="D33" i="48" s="1"/>
  <c r="L19" i="32"/>
  <c r="E32" i="48" s="1"/>
  <c r="E33" i="48" s="1"/>
  <c r="M19" i="32"/>
  <c r="F32" i="48" s="1"/>
  <c r="F33" i="48" s="1"/>
  <c r="N19" i="32"/>
  <c r="G32" i="48" s="1"/>
  <c r="G33" i="48" s="1"/>
  <c r="K15" i="32"/>
  <c r="K10" i="18"/>
  <c r="D3" i="48" s="1"/>
  <c r="L15" i="32"/>
  <c r="L10" i="18"/>
  <c r="E3" i="48" s="1"/>
  <c r="M15" i="32"/>
  <c r="M10" i="18"/>
  <c r="F3" i="48" s="1"/>
  <c r="N15" i="32"/>
  <c r="N10" i="18"/>
  <c r="G3" i="48" s="1"/>
  <c r="I122" i="18"/>
  <c r="J79" i="18"/>
  <c r="J80" i="18"/>
  <c r="J81" i="18"/>
  <c r="J82" i="18"/>
  <c r="J136" i="18"/>
  <c r="I93" i="18"/>
  <c r="J93" i="18"/>
  <c r="I94" i="18"/>
  <c r="I95" i="18"/>
  <c r="J96" i="18"/>
  <c r="J141" i="18"/>
  <c r="K79" i="18"/>
  <c r="K80" i="18"/>
  <c r="K81" i="18"/>
  <c r="K82" i="18"/>
  <c r="K136" i="18"/>
  <c r="K93" i="18"/>
  <c r="K96" i="18"/>
  <c r="K141" i="18"/>
  <c r="L79" i="18"/>
  <c r="L80" i="18"/>
  <c r="L81" i="18"/>
  <c r="L82" i="18"/>
  <c r="L136" i="18"/>
  <c r="L93" i="18"/>
  <c r="L96" i="18"/>
  <c r="L141" i="18"/>
  <c r="G122" i="18"/>
  <c r="H122" i="18"/>
  <c r="M79" i="18"/>
  <c r="M80" i="18"/>
  <c r="M81" i="18"/>
  <c r="M82" i="18"/>
  <c r="M136" i="18"/>
  <c r="M93" i="18"/>
  <c r="M96" i="18"/>
  <c r="M141" i="18"/>
  <c r="N79" i="18"/>
  <c r="N80" i="18"/>
  <c r="N81" i="18"/>
  <c r="N82" i="18"/>
  <c r="N136" i="18"/>
  <c r="N93" i="18"/>
  <c r="N96" i="18"/>
  <c r="N141" i="18"/>
  <c r="E14" i="43"/>
  <c r="E11" i="43"/>
  <c r="E10" i="43"/>
  <c r="E9" i="43"/>
  <c r="E8" i="43"/>
  <c r="E7" i="43"/>
  <c r="E6" i="43"/>
  <c r="E26" i="45"/>
  <c r="G65" i="45"/>
  <c r="F65" i="45"/>
  <c r="E65" i="45"/>
  <c r="D65" i="45"/>
  <c r="C65" i="45"/>
  <c r="B65" i="45"/>
  <c r="E10" i="45"/>
  <c r="W10" i="45"/>
  <c r="E11" i="45"/>
  <c r="W11" i="45"/>
  <c r="E13" i="45"/>
  <c r="W13" i="45"/>
  <c r="E14" i="45"/>
  <c r="W14" i="45"/>
  <c r="E15" i="45"/>
  <c r="W15" i="45"/>
  <c r="E16" i="45"/>
  <c r="W16" i="45"/>
  <c r="W21" i="45"/>
  <c r="O33" i="45"/>
  <c r="O32" i="45"/>
  <c r="O39" i="45"/>
  <c r="G59" i="45"/>
  <c r="W22" i="45"/>
  <c r="P33" i="45"/>
  <c r="P32" i="45"/>
  <c r="P39" i="45"/>
  <c r="G60" i="45"/>
  <c r="G63" i="45"/>
  <c r="G62" i="45"/>
  <c r="G64" i="45"/>
  <c r="V10" i="45"/>
  <c r="V11" i="45"/>
  <c r="V13" i="45"/>
  <c r="V14" i="45"/>
  <c r="V15" i="45"/>
  <c r="V16" i="45"/>
  <c r="V21" i="45"/>
  <c r="M33" i="45"/>
  <c r="M32" i="45"/>
  <c r="M39" i="45"/>
  <c r="F59" i="45"/>
  <c r="V22" i="45"/>
  <c r="N33" i="45"/>
  <c r="N32" i="45"/>
  <c r="N39" i="45"/>
  <c r="F60" i="45"/>
  <c r="F63" i="45"/>
  <c r="F62" i="45"/>
  <c r="F64" i="45"/>
  <c r="J10" i="45"/>
  <c r="U10" i="45"/>
  <c r="J11" i="45"/>
  <c r="U11" i="45"/>
  <c r="J13" i="45"/>
  <c r="U13" i="45"/>
  <c r="J14" i="45"/>
  <c r="U14" i="45"/>
  <c r="J15" i="45"/>
  <c r="U15" i="45"/>
  <c r="J16" i="45"/>
  <c r="U16" i="45"/>
  <c r="U21" i="45"/>
  <c r="K33" i="45"/>
  <c r="K32" i="45"/>
  <c r="K34" i="45"/>
  <c r="K39" i="45"/>
  <c r="E59" i="45"/>
  <c r="U22" i="45"/>
  <c r="L33" i="45"/>
  <c r="L32" i="45"/>
  <c r="L34" i="45"/>
  <c r="L39" i="45"/>
  <c r="E60" i="45"/>
  <c r="E63" i="45"/>
  <c r="E62" i="45"/>
  <c r="E64" i="45"/>
  <c r="T10" i="45"/>
  <c r="T11" i="45"/>
  <c r="T13" i="45"/>
  <c r="T14" i="45"/>
  <c r="T15" i="45"/>
  <c r="T16" i="45"/>
  <c r="T21" i="45"/>
  <c r="I33" i="45"/>
  <c r="I32" i="45"/>
  <c r="I34" i="45"/>
  <c r="I39" i="45"/>
  <c r="D59" i="45"/>
  <c r="T22" i="45"/>
  <c r="J33" i="45"/>
  <c r="J32" i="45"/>
  <c r="J34" i="45"/>
  <c r="J39" i="45"/>
  <c r="D60" i="45"/>
  <c r="D63" i="45"/>
  <c r="D62" i="45"/>
  <c r="D64" i="45"/>
  <c r="S10" i="45"/>
  <c r="S11" i="45"/>
  <c r="S13" i="45"/>
  <c r="S14" i="45"/>
  <c r="S15" i="45"/>
  <c r="S16" i="45"/>
  <c r="S21" i="45"/>
  <c r="G33" i="45"/>
  <c r="G32" i="45"/>
  <c r="G34" i="45"/>
  <c r="G39" i="45"/>
  <c r="C59" i="45"/>
  <c r="S22" i="45"/>
  <c r="H33" i="45"/>
  <c r="H32" i="45"/>
  <c r="H34" i="45"/>
  <c r="H39" i="45"/>
  <c r="C60" i="45"/>
  <c r="C63" i="45"/>
  <c r="C62" i="45"/>
  <c r="C64" i="45"/>
  <c r="R10" i="45"/>
  <c r="R11" i="45"/>
  <c r="R13" i="45"/>
  <c r="R14" i="45"/>
  <c r="R15" i="45"/>
  <c r="R16" i="45"/>
  <c r="R21" i="45"/>
  <c r="E33" i="45"/>
  <c r="E32" i="45"/>
  <c r="E34" i="45"/>
  <c r="E39" i="45"/>
  <c r="B59" i="45"/>
  <c r="R22" i="45"/>
  <c r="F33" i="45"/>
  <c r="F32" i="45"/>
  <c r="F34" i="45"/>
  <c r="F39" i="45"/>
  <c r="B60" i="45"/>
  <c r="B63" i="45"/>
  <c r="B62" i="45"/>
  <c r="B64" i="45"/>
  <c r="E12" i="45"/>
  <c r="W12" i="45"/>
  <c r="R55" i="45"/>
  <c r="V12" i="45"/>
  <c r="Q55" i="45"/>
  <c r="J12" i="45"/>
  <c r="U12" i="45"/>
  <c r="P55" i="45"/>
  <c r="T12" i="45"/>
  <c r="O55" i="45"/>
  <c r="S12" i="45"/>
  <c r="N55" i="45"/>
  <c r="R12" i="45"/>
  <c r="M55" i="45"/>
  <c r="R53" i="45"/>
  <c r="R52" i="45"/>
  <c r="R54" i="45"/>
  <c r="Q53" i="45"/>
  <c r="Q52" i="45"/>
  <c r="Q54" i="45"/>
  <c r="P53" i="45"/>
  <c r="P52" i="45"/>
  <c r="P54" i="45"/>
  <c r="O53" i="45"/>
  <c r="O52" i="45"/>
  <c r="O54" i="45"/>
  <c r="N53" i="45"/>
  <c r="N52" i="45"/>
  <c r="N54" i="45"/>
  <c r="M53" i="45"/>
  <c r="M52" i="45"/>
  <c r="M54" i="45"/>
  <c r="P41" i="45"/>
  <c r="P44" i="45"/>
  <c r="O41" i="45"/>
  <c r="O44" i="45"/>
  <c r="N41" i="45"/>
  <c r="N44" i="45"/>
  <c r="M44" i="45"/>
  <c r="W26" i="45"/>
  <c r="V26" i="45"/>
  <c r="J26" i="45"/>
  <c r="U26" i="45"/>
  <c r="T26" i="45"/>
  <c r="S26" i="45"/>
  <c r="R26" i="45"/>
  <c r="K26" i="45"/>
  <c r="AD22" i="45"/>
  <c r="AB22" i="45"/>
  <c r="Z22" i="45"/>
  <c r="AD21" i="45"/>
  <c r="AB21" i="45"/>
  <c r="Z21" i="45"/>
  <c r="E20" i="45"/>
  <c r="W20" i="45"/>
  <c r="V20" i="45"/>
  <c r="J20" i="45"/>
  <c r="U20" i="45"/>
  <c r="T20" i="45"/>
  <c r="S20" i="45"/>
  <c r="R20" i="45"/>
  <c r="K20" i="45"/>
  <c r="E19" i="45"/>
  <c r="W19" i="45"/>
  <c r="V19" i="45"/>
  <c r="J19" i="45"/>
  <c r="U19" i="45"/>
  <c r="T19" i="45"/>
  <c r="S19" i="45"/>
  <c r="R19" i="45"/>
  <c r="K19" i="45"/>
  <c r="E18" i="45"/>
  <c r="W18" i="45"/>
  <c r="V18" i="45"/>
  <c r="J18" i="45"/>
  <c r="U18" i="45"/>
  <c r="T18" i="45"/>
  <c r="S18" i="45"/>
  <c r="R18" i="45"/>
  <c r="K18" i="45"/>
  <c r="E17" i="45"/>
  <c r="W17" i="45"/>
  <c r="V17" i="45"/>
  <c r="J17" i="45"/>
  <c r="U17" i="45"/>
  <c r="T17" i="45"/>
  <c r="S17" i="45"/>
  <c r="R17" i="45"/>
  <c r="K17" i="45"/>
  <c r="K16" i="45"/>
  <c r="K15" i="45"/>
  <c r="K14" i="45"/>
  <c r="K13" i="45"/>
  <c r="K12" i="45"/>
  <c r="K11" i="45"/>
  <c r="K10" i="45"/>
  <c r="M6" i="43"/>
  <c r="Q6" i="43" s="1"/>
  <c r="M7" i="43"/>
  <c r="Q7" i="43"/>
  <c r="M8" i="43"/>
  <c r="Q8" i="43"/>
  <c r="M9" i="43"/>
  <c r="Q9" i="43"/>
  <c r="H10" i="43"/>
  <c r="M10" i="43"/>
  <c r="M11" i="43"/>
  <c r="Q11" i="43"/>
  <c r="H6" i="44"/>
  <c r="H7" i="44"/>
  <c r="H8" i="44"/>
  <c r="H9" i="44"/>
  <c r="H10" i="44"/>
  <c r="H11" i="44"/>
  <c r="J156" i="18"/>
  <c r="K156" i="18"/>
  <c r="L156" i="18"/>
  <c r="M156" i="18"/>
  <c r="N156" i="18"/>
  <c r="F13" i="18"/>
  <c r="L6" i="43"/>
  <c r="F10" i="17"/>
  <c r="L7" i="43"/>
  <c r="F11" i="17"/>
  <c r="M11" i="17"/>
  <c r="L8" i="43"/>
  <c r="F12" i="17"/>
  <c r="M12" i="17"/>
  <c r="L9" i="43"/>
  <c r="F13" i="17"/>
  <c r="M13" i="17"/>
  <c r="L10" i="43"/>
  <c r="F14" i="17"/>
  <c r="M14" i="17"/>
  <c r="L11" i="43"/>
  <c r="F15" i="17"/>
  <c r="M15" i="17"/>
  <c r="M44" i="17"/>
  <c r="M17" i="17"/>
  <c r="K33" i="47"/>
  <c r="F26" i="17"/>
  <c r="F27" i="17"/>
  <c r="F33" i="17"/>
  <c r="N10" i="17"/>
  <c r="N11" i="17"/>
  <c r="N12" i="17"/>
  <c r="N13" i="17"/>
  <c r="N14" i="17"/>
  <c r="N15" i="17"/>
  <c r="N16" i="17"/>
  <c r="G26" i="17"/>
  <c r="G33" i="17"/>
  <c r="N17" i="17"/>
  <c r="H26" i="17"/>
  <c r="O10" i="17"/>
  <c r="O11" i="17"/>
  <c r="O12" i="17"/>
  <c r="O13" i="17"/>
  <c r="O14" i="17"/>
  <c r="O15" i="17"/>
  <c r="O16" i="17"/>
  <c r="I26" i="17"/>
  <c r="I33" i="17"/>
  <c r="I34" i="17"/>
  <c r="O17" i="17"/>
  <c r="J26" i="17"/>
  <c r="J33" i="17"/>
  <c r="J34" i="17"/>
  <c r="P10" i="17"/>
  <c r="P11" i="17"/>
  <c r="P12" i="17"/>
  <c r="P13" i="17"/>
  <c r="P14" i="17"/>
  <c r="P15" i="17"/>
  <c r="P16" i="17"/>
  <c r="K26" i="17"/>
  <c r="K33" i="17"/>
  <c r="P17" i="17"/>
  <c r="L26" i="17"/>
  <c r="E10" i="17"/>
  <c r="Q10" i="17"/>
  <c r="E11" i="17"/>
  <c r="Q11" i="17"/>
  <c r="E12" i="17"/>
  <c r="Q12" i="17"/>
  <c r="E13" i="17"/>
  <c r="Q13" i="17"/>
  <c r="E14" i="17"/>
  <c r="Q14" i="17"/>
  <c r="E15" i="17"/>
  <c r="Q15" i="17"/>
  <c r="Q16" i="17"/>
  <c r="M26" i="17"/>
  <c r="M33" i="17"/>
  <c r="M34" i="17"/>
  <c r="Q17" i="17"/>
  <c r="N26" i="17"/>
  <c r="N33" i="17"/>
  <c r="N34" i="17"/>
  <c r="R10" i="17"/>
  <c r="R11" i="17"/>
  <c r="R12" i="17"/>
  <c r="R13" i="17"/>
  <c r="R14" i="17"/>
  <c r="R15" i="17"/>
  <c r="R16" i="17"/>
  <c r="O26" i="17"/>
  <c r="O33" i="17"/>
  <c r="R17" i="17"/>
  <c r="P26" i="17"/>
  <c r="P33" i="17"/>
  <c r="M16" i="17"/>
  <c r="K32" i="47"/>
  <c r="E26" i="17"/>
  <c r="E27" i="17"/>
  <c r="E33" i="17"/>
  <c r="I75" i="18"/>
  <c r="I77" i="18"/>
  <c r="I73" i="12"/>
  <c r="N36" i="17"/>
  <c r="O36" i="17"/>
  <c r="P36" i="17"/>
  <c r="N37" i="17"/>
  <c r="O37" i="17"/>
  <c r="P37" i="17"/>
  <c r="N38" i="17"/>
  <c r="O38" i="17"/>
  <c r="P38" i="17"/>
  <c r="M38" i="17"/>
  <c r="M37" i="17"/>
  <c r="M36" i="17"/>
  <c r="I62" i="12"/>
  <c r="L62" i="12"/>
  <c r="I85" i="12"/>
  <c r="I86" i="12"/>
  <c r="I84" i="12"/>
  <c r="I82" i="12"/>
  <c r="I88" i="12"/>
  <c r="F65" i="18"/>
  <c r="F66" i="18"/>
  <c r="F67" i="18"/>
  <c r="F68" i="18"/>
  <c r="F69" i="18"/>
  <c r="G73" i="18"/>
  <c r="G65" i="18"/>
  <c r="G66" i="18"/>
  <c r="G67" i="18"/>
  <c r="G68" i="18"/>
  <c r="G69" i="18"/>
  <c r="G30" i="18"/>
  <c r="G13" i="18"/>
  <c r="G14" i="18"/>
  <c r="G15" i="18"/>
  <c r="G26" i="18"/>
  <c r="G27" i="18"/>
  <c r="H65" i="18"/>
  <c r="H66" i="18"/>
  <c r="H67" i="18"/>
  <c r="H68" i="18"/>
  <c r="H69" i="18"/>
  <c r="K57" i="12"/>
  <c r="P47" i="17"/>
  <c r="R45" i="17"/>
  <c r="R44" i="17"/>
  <c r="R47" i="17"/>
  <c r="Q47" i="17"/>
  <c r="Q45" i="17"/>
  <c r="Q44" i="17"/>
  <c r="P45" i="17"/>
  <c r="P44" i="17"/>
  <c r="O47" i="17"/>
  <c r="O45" i="17"/>
  <c r="O44" i="17"/>
  <c r="N47" i="17"/>
  <c r="M47" i="17"/>
  <c r="N45" i="17"/>
  <c r="N44" i="17"/>
  <c r="M45" i="17"/>
  <c r="L14" i="43"/>
  <c r="F19" i="17"/>
  <c r="E19" i="17"/>
  <c r="Q19" i="17"/>
  <c r="O19" i="17"/>
  <c r="M19" i="17"/>
  <c r="C19" i="17"/>
  <c r="B19" i="17"/>
  <c r="B4" i="41" s="1"/>
  <c r="D14" i="44" a="1"/>
  <c r="D14" i="44" s="1"/>
  <c r="D11" i="44" a="1"/>
  <c r="D11" i="44" s="1"/>
  <c r="N10" i="44" a="1"/>
  <c r="N10" i="44" s="1"/>
  <c r="N12" i="44" s="1"/>
  <c r="D10" i="44" a="1"/>
  <c r="D10" i="44" s="1"/>
  <c r="D9" i="44" a="1"/>
  <c r="D9" i="44" s="1"/>
  <c r="D8" i="44" a="1"/>
  <c r="D8" i="44" s="1"/>
  <c r="D7" i="44" a="1"/>
  <c r="D7" i="44" s="1"/>
  <c r="D6" i="44" a="1"/>
  <c r="D6" i="44" s="1"/>
  <c r="D39" i="44"/>
  <c r="O6" i="44"/>
  <c r="O7" i="44"/>
  <c r="O8" i="44"/>
  <c r="O9" i="44"/>
  <c r="O11" i="44"/>
  <c r="E14" i="44"/>
  <c r="D21" i="44" s="1"/>
  <c r="H14" i="44"/>
  <c r="D22" i="44"/>
  <c r="O14" i="44"/>
  <c r="L7" i="44"/>
  <c r="J20" i="32"/>
  <c r="K20" i="32"/>
  <c r="L20" i="32"/>
  <c r="M20" i="32"/>
  <c r="N20" i="32"/>
  <c r="F10" i="18"/>
  <c r="F109" i="18" s="1"/>
  <c r="G109" i="18"/>
  <c r="H109" i="18"/>
  <c r="B11" i="17"/>
  <c r="H24" i="47" s="1"/>
  <c r="C11" i="17"/>
  <c r="D7" i="43" a="1"/>
  <c r="D7" i="43" s="1"/>
  <c r="D11" i="17" s="1"/>
  <c r="B12" i="17"/>
  <c r="B7" i="41" s="1"/>
  <c r="C12" i="17"/>
  <c r="D8" i="43" a="1"/>
  <c r="D8" i="43" s="1"/>
  <c r="D12" i="17" s="1"/>
  <c r="B13" i="17"/>
  <c r="H28" i="47" s="1"/>
  <c r="C13" i="17"/>
  <c r="D9" i="43" a="1"/>
  <c r="D9" i="43" s="1"/>
  <c r="D13" i="17" s="1"/>
  <c r="B14" i="17"/>
  <c r="H29" i="47" s="1"/>
  <c r="C14" i="17"/>
  <c r="D10" i="43" a="1"/>
  <c r="D10" i="43" s="1"/>
  <c r="D14" i="17" s="1"/>
  <c r="B15" i="17"/>
  <c r="B10" i="41" s="1"/>
  <c r="C15" i="17"/>
  <c r="D11" i="43" a="1"/>
  <c r="D11" i="43" s="1"/>
  <c r="D15" i="17" s="1"/>
  <c r="D6" i="43" a="1"/>
  <c r="D6" i="43" s="1"/>
  <c r="D10" i="17" s="1"/>
  <c r="C10" i="17"/>
  <c r="B10" i="17"/>
  <c r="B5" i="41" s="1"/>
  <c r="L11" i="18"/>
  <c r="M11" i="18"/>
  <c r="N11" i="18"/>
  <c r="D22" i="43"/>
  <c r="H132" i="18"/>
  <c r="I132" i="18"/>
  <c r="H71" i="18"/>
  <c r="I125" i="18"/>
  <c r="G121" i="18"/>
  <c r="G154" i="18"/>
  <c r="G131" i="18"/>
  <c r="G132" i="18"/>
  <c r="G155" i="18"/>
  <c r="H13" i="18"/>
  <c r="H14" i="18"/>
  <c r="H15" i="18"/>
  <c r="H16" i="18"/>
  <c r="H21" i="18"/>
  <c r="H118" i="18"/>
  <c r="H119" i="18"/>
  <c r="H120" i="18"/>
  <c r="H121" i="18"/>
  <c r="H123" i="18"/>
  <c r="G71" i="18"/>
  <c r="H125" i="18"/>
  <c r="H126" i="18"/>
  <c r="H128" i="18"/>
  <c r="H30" i="18"/>
  <c r="H130" i="18"/>
  <c r="H131" i="18"/>
  <c r="H26" i="18"/>
  <c r="H133" i="18"/>
  <c r="H27" i="18"/>
  <c r="H134" i="18"/>
  <c r="H135" i="18"/>
  <c r="H79" i="18"/>
  <c r="H80" i="18"/>
  <c r="H81" i="18"/>
  <c r="H82" i="18"/>
  <c r="G79" i="18"/>
  <c r="G80" i="18"/>
  <c r="G81" i="18"/>
  <c r="G82" i="18"/>
  <c r="H136" i="18"/>
  <c r="H137" i="18"/>
  <c r="H139" i="18"/>
  <c r="H93" i="18"/>
  <c r="H94" i="18"/>
  <c r="H95" i="18"/>
  <c r="G93" i="18"/>
  <c r="G94" i="18"/>
  <c r="G95" i="18"/>
  <c r="H28" i="18"/>
  <c r="H31" i="18"/>
  <c r="H140" i="18"/>
  <c r="H96" i="18"/>
  <c r="G96" i="18"/>
  <c r="H141" i="18"/>
  <c r="H143" i="18"/>
  <c r="I118" i="18"/>
  <c r="I119" i="18"/>
  <c r="I120" i="18"/>
  <c r="I121" i="18"/>
  <c r="I123" i="18"/>
  <c r="I126" i="18"/>
  <c r="I128" i="18"/>
  <c r="I130" i="18"/>
  <c r="I134" i="18"/>
  <c r="I135" i="18"/>
  <c r="I136" i="18"/>
  <c r="I137" i="18"/>
  <c r="I139" i="18"/>
  <c r="I140" i="18"/>
  <c r="I141" i="18"/>
  <c r="I143" i="18"/>
  <c r="G16" i="18"/>
  <c r="G21" i="18"/>
  <c r="G118" i="18"/>
  <c r="G119" i="18"/>
  <c r="F14" i="18"/>
  <c r="F15" i="18"/>
  <c r="H86" i="6"/>
  <c r="C7" i="40"/>
  <c r="F16" i="12"/>
  <c r="F15" i="12"/>
  <c r="O6" i="43"/>
  <c r="H6" i="43"/>
  <c r="O7" i="43"/>
  <c r="H7" i="43"/>
  <c r="O8" i="43"/>
  <c r="H8" i="43"/>
  <c r="O9" i="43"/>
  <c r="H9" i="43"/>
  <c r="O11" i="43"/>
  <c r="H11" i="43"/>
  <c r="D39" i="43"/>
  <c r="D21" i="43"/>
  <c r="M12" i="43"/>
  <c r="D20" i="43"/>
  <c r="H14" i="43"/>
  <c r="M14" i="43"/>
  <c r="O14" i="43"/>
  <c r="D14" i="43" a="1"/>
  <c r="D14" i="43" s="1"/>
  <c r="D19" i="17" s="1"/>
  <c r="H54" i="18"/>
  <c r="I106" i="18"/>
  <c r="G28" i="18"/>
  <c r="G31" i="18"/>
  <c r="G153" i="18"/>
  <c r="H153" i="18"/>
  <c r="I153" i="18"/>
  <c r="H154" i="18"/>
  <c r="H155" i="18"/>
  <c r="I155" i="18"/>
  <c r="I43" i="6"/>
  <c r="I51" i="6"/>
  <c r="I55" i="6"/>
  <c r="I51" i="18"/>
  <c r="K51" i="18"/>
  <c r="L51" i="18"/>
  <c r="M51" i="18"/>
  <c r="N51" i="18"/>
  <c r="J51" i="18"/>
  <c r="G43" i="6"/>
  <c r="G51" i="6"/>
  <c r="G55" i="6"/>
  <c r="G51" i="18"/>
  <c r="H43" i="6"/>
  <c r="H51" i="6"/>
  <c r="H55" i="6"/>
  <c r="H51" i="18"/>
  <c r="F43" i="6"/>
  <c r="F51" i="6"/>
  <c r="F55" i="6"/>
  <c r="F51" i="18"/>
  <c r="G126" i="18"/>
  <c r="G148" i="18" s="1"/>
  <c r="H148" i="18"/>
  <c r="I148" i="18"/>
  <c r="G105" i="18"/>
  <c r="G106" i="18"/>
  <c r="G107" i="18"/>
  <c r="G108" i="18"/>
  <c r="H108" i="18"/>
  <c r="I108" i="18"/>
  <c r="F107" i="18"/>
  <c r="G36" i="18"/>
  <c r="H36" i="18"/>
  <c r="I36" i="18"/>
  <c r="F26" i="18"/>
  <c r="F27" i="18"/>
  <c r="F30" i="18"/>
  <c r="G49" i="18"/>
  <c r="H49" i="18"/>
  <c r="I49" i="18"/>
  <c r="G139" i="18"/>
  <c r="G45" i="18"/>
  <c r="H45" i="18"/>
  <c r="I45" i="18"/>
  <c r="I43" i="18"/>
  <c r="G43" i="18"/>
  <c r="H43" i="18"/>
  <c r="G44" i="18"/>
  <c r="H44" i="18"/>
  <c r="I44" i="18"/>
  <c r="I42" i="18"/>
  <c r="G40" i="18"/>
  <c r="H40" i="18"/>
  <c r="I40" i="18"/>
  <c r="G41" i="18"/>
  <c r="H41" i="18"/>
  <c r="I41" i="18"/>
  <c r="G42" i="18"/>
  <c r="H42" i="18"/>
  <c r="G15" i="32"/>
  <c r="G19" i="32"/>
  <c r="F15" i="32"/>
  <c r="F19" i="32"/>
  <c r="G20" i="32" s="1"/>
  <c r="H15" i="32"/>
  <c r="H19" i="32"/>
  <c r="H20" i="32"/>
  <c r="I20" i="32"/>
  <c r="F94" i="18"/>
  <c r="F81" i="18"/>
  <c r="F93" i="18"/>
  <c r="F80" i="18"/>
  <c r="F79" i="18"/>
  <c r="F86" i="6"/>
  <c r="G86" i="6"/>
  <c r="I74" i="6"/>
  <c r="I68" i="6"/>
  <c r="I60" i="6"/>
  <c r="I62" i="6"/>
  <c r="I78" i="6"/>
  <c r="G74" i="6"/>
  <c r="H74" i="6"/>
  <c r="F74" i="6"/>
  <c r="G68" i="6"/>
  <c r="H68" i="6"/>
  <c r="F68" i="6"/>
  <c r="G60" i="6"/>
  <c r="H60" i="6"/>
  <c r="F60" i="6"/>
  <c r="G17" i="6"/>
  <c r="G23" i="6"/>
  <c r="H17" i="6"/>
  <c r="H23" i="6"/>
  <c r="I17" i="6"/>
  <c r="I23" i="6"/>
  <c r="F17" i="6"/>
  <c r="F23" i="6" s="1"/>
  <c r="F30" i="6" s="1"/>
  <c r="F33" i="6" s="1"/>
  <c r="H4" i="41"/>
  <c r="D4" i="41"/>
  <c r="I4" i="41"/>
  <c r="E4" i="41"/>
  <c r="F4" i="41"/>
  <c r="C4" i="41"/>
  <c r="H11" i="41"/>
  <c r="D11" i="41"/>
  <c r="I11" i="41"/>
  <c r="E11" i="41"/>
  <c r="F11" i="41"/>
  <c r="C11" i="41"/>
  <c r="B11" i="41"/>
  <c r="H10" i="41"/>
  <c r="D10" i="41"/>
  <c r="I10" i="41"/>
  <c r="E10" i="41"/>
  <c r="F10" i="41"/>
  <c r="C10" i="41"/>
  <c r="H9" i="41"/>
  <c r="D9" i="41"/>
  <c r="I9" i="41"/>
  <c r="E9" i="41"/>
  <c r="F9" i="41"/>
  <c r="C9" i="41"/>
  <c r="H8" i="41"/>
  <c r="D8" i="41"/>
  <c r="I8" i="41"/>
  <c r="E8" i="41"/>
  <c r="F8" i="41"/>
  <c r="C8" i="41"/>
  <c r="H7" i="41"/>
  <c r="D7" i="41"/>
  <c r="I7" i="41"/>
  <c r="E7" i="41"/>
  <c r="F7" i="41"/>
  <c r="C7" i="41"/>
  <c r="H6" i="41"/>
  <c r="D6" i="41"/>
  <c r="I6" i="41"/>
  <c r="E6" i="41"/>
  <c r="F6" i="41"/>
  <c r="C6" i="41"/>
  <c r="H5" i="41"/>
  <c r="D5" i="41"/>
  <c r="I5" i="41"/>
  <c r="E5" i="41"/>
  <c r="F5" i="41"/>
  <c r="C5" i="41"/>
  <c r="G5" i="32"/>
  <c r="H5" i="32"/>
  <c r="I5" i="32"/>
  <c r="J5" i="32"/>
  <c r="K5" i="32"/>
  <c r="L5" i="32"/>
  <c r="M5" i="32"/>
  <c r="N5" i="32"/>
  <c r="D326" i="27"/>
  <c r="F96" i="18"/>
  <c r="G120" i="18"/>
  <c r="G123" i="18"/>
  <c r="F121" i="18"/>
  <c r="F122" i="18"/>
  <c r="L350" i="27"/>
  <c r="M349" i="27"/>
  <c r="M357" i="27"/>
  <c r="M355" i="27"/>
  <c r="M354" i="27"/>
  <c r="L345" i="27"/>
  <c r="M337" i="27"/>
  <c r="M339" i="27"/>
  <c r="M353" i="27"/>
  <c r="M356" i="27"/>
  <c r="M358" i="27"/>
  <c r="M344" i="27"/>
  <c r="M345" i="27"/>
  <c r="M348" i="27"/>
  <c r="M350" i="27"/>
  <c r="E81" i="27"/>
  <c r="E80" i="27"/>
  <c r="E79" i="27"/>
  <c r="D81" i="27"/>
  <c r="D80" i="27"/>
  <c r="D79" i="27"/>
  <c r="F5" i="12"/>
  <c r="E239" i="27"/>
  <c r="E291" i="27"/>
  <c r="E294" i="27"/>
  <c r="E296" i="27"/>
  <c r="D239" i="27"/>
  <c r="D291" i="27"/>
  <c r="D294" i="27"/>
  <c r="D296" i="27"/>
  <c r="B5" i="12"/>
  <c r="B5" i="18"/>
  <c r="D5" i="18"/>
  <c r="I26" i="27"/>
  <c r="F62" i="6"/>
  <c r="F78" i="6"/>
  <c r="H62" i="6"/>
  <c r="G62" i="6"/>
  <c r="H30" i="6"/>
  <c r="H33" i="6"/>
  <c r="G30" i="6"/>
  <c r="G33" i="6"/>
  <c r="F5" i="18"/>
  <c r="C324" i="27"/>
  <c r="C323" i="27"/>
  <c r="D67" i="27"/>
  <c r="C67" i="27"/>
  <c r="E66" i="27"/>
  <c r="D66" i="27"/>
  <c r="C66" i="27"/>
  <c r="D70" i="27"/>
  <c r="D69" i="27"/>
  <c r="D99" i="27"/>
  <c r="D68" i="27"/>
  <c r="D63" i="27"/>
  <c r="D62" i="27"/>
  <c r="D61" i="27"/>
  <c r="D60" i="27"/>
  <c r="D59" i="27"/>
  <c r="D203" i="27"/>
  <c r="C166" i="27"/>
  <c r="C165" i="27"/>
  <c r="C164" i="27"/>
  <c r="C163" i="27"/>
  <c r="C162" i="27"/>
  <c r="C161" i="27"/>
  <c r="C160" i="27"/>
  <c r="C159" i="27"/>
  <c r="C158" i="27"/>
  <c r="C157" i="27"/>
  <c r="C156" i="27"/>
  <c r="C155" i="27"/>
  <c r="C154" i="27"/>
  <c r="C153" i="27"/>
  <c r="C152" i="27"/>
  <c r="C151" i="27"/>
  <c r="C150" i="27"/>
  <c r="E166" i="27"/>
  <c r="E165" i="27"/>
  <c r="E164" i="27"/>
  <c r="E163" i="27"/>
  <c r="E162" i="27"/>
  <c r="E161" i="27"/>
  <c r="E160" i="27"/>
  <c r="E159" i="27"/>
  <c r="E158" i="27"/>
  <c r="E157" i="27"/>
  <c r="E156" i="27"/>
  <c r="E155" i="27"/>
  <c r="E154" i="27"/>
  <c r="E153" i="27"/>
  <c r="E152" i="27"/>
  <c r="E151" i="27"/>
  <c r="E167" i="27"/>
  <c r="C116" i="27"/>
  <c r="C117" i="27"/>
  <c r="C118" i="27"/>
  <c r="C119" i="27"/>
  <c r="C121" i="27"/>
  <c r="C122" i="27"/>
  <c r="C124" i="27"/>
  <c r="C126" i="27"/>
  <c r="C128" i="27"/>
  <c r="C129" i="27"/>
  <c r="C131" i="27"/>
  <c r="C132" i="27"/>
  <c r="C134" i="27"/>
  <c r="C138" i="27"/>
  <c r="C87" i="27"/>
  <c r="C88" i="27"/>
  <c r="C89" i="27"/>
  <c r="C91" i="27"/>
  <c r="C92" i="27"/>
  <c r="C94" i="27"/>
  <c r="C95" i="27"/>
  <c r="C96" i="27"/>
  <c r="C99" i="27"/>
  <c r="C100" i="27"/>
  <c r="C101" i="27"/>
  <c r="C103" i="27"/>
  <c r="C104" i="27"/>
  <c r="C105" i="27"/>
  <c r="C59" i="27"/>
  <c r="E59" i="27"/>
  <c r="E87" i="27"/>
  <c r="C60" i="27"/>
  <c r="E60" i="27"/>
  <c r="C61" i="27"/>
  <c r="E61" i="27"/>
  <c r="E89" i="27"/>
  <c r="E62" i="27"/>
  <c r="C63" i="27"/>
  <c r="E63" i="27"/>
  <c r="E68" i="27"/>
  <c r="C64" i="27"/>
  <c r="C68" i="27"/>
  <c r="C69" i="27"/>
  <c r="E69" i="27"/>
  <c r="E99" i="27"/>
  <c r="D128" i="27"/>
  <c r="C70" i="27"/>
  <c r="E70" i="27"/>
  <c r="C71" i="27"/>
  <c r="C73" i="27"/>
  <c r="E73" i="27"/>
  <c r="E103" i="27"/>
  <c r="C74" i="27"/>
  <c r="C33" i="27"/>
  <c r="C34" i="27"/>
  <c r="C35" i="27"/>
  <c r="C38" i="27"/>
  <c r="C39" i="27"/>
  <c r="C41" i="27"/>
  <c r="C42" i="27"/>
  <c r="C43" i="27"/>
  <c r="C36" i="27"/>
  <c r="C37" i="27"/>
  <c r="C48" i="27"/>
  <c r="C45" i="27"/>
  <c r="C47" i="27"/>
  <c r="C49" i="27"/>
  <c r="C50" i="27"/>
  <c r="C52" i="27"/>
  <c r="G37" i="27"/>
  <c r="G33" i="27"/>
  <c r="G34" i="27"/>
  <c r="G35" i="27"/>
  <c r="G38" i="27"/>
  <c r="G40" i="27"/>
  <c r="G41" i="27"/>
  <c r="G42" i="27"/>
  <c r="G43" i="27"/>
  <c r="G44" i="27"/>
  <c r="G52" i="27"/>
  <c r="C6" i="27"/>
  <c r="D6" i="27"/>
  <c r="E6" i="27"/>
  <c r="C7" i="27"/>
  <c r="D7" i="27"/>
  <c r="E7" i="27"/>
  <c r="C8" i="27"/>
  <c r="D8" i="27"/>
  <c r="E8" i="27"/>
  <c r="C9" i="27"/>
  <c r="D9" i="27"/>
  <c r="E9" i="27"/>
  <c r="C10" i="27"/>
  <c r="D10" i="27"/>
  <c r="E10" i="27"/>
  <c r="C11" i="27"/>
  <c r="D11" i="27"/>
  <c r="D47" i="27"/>
  <c r="E11" i="27"/>
  <c r="E47" i="27"/>
  <c r="C12" i="27"/>
  <c r="D12" i="27"/>
  <c r="E12" i="27"/>
  <c r="C13" i="27"/>
  <c r="D13" i="27"/>
  <c r="E13" i="27"/>
  <c r="C14" i="27"/>
  <c r="C16" i="27"/>
  <c r="D16" i="27"/>
  <c r="D35" i="27"/>
  <c r="E16" i="27"/>
  <c r="E35" i="27"/>
  <c r="E245" i="27"/>
  <c r="C17" i="27"/>
  <c r="D17" i="27"/>
  <c r="E17" i="27"/>
  <c r="C18" i="27"/>
  <c r="D18" i="27"/>
  <c r="D33" i="27"/>
  <c r="E18" i="27"/>
  <c r="E33" i="27"/>
  <c r="E206" i="27"/>
  <c r="C19" i="27"/>
  <c r="D19" i="27"/>
  <c r="E19" i="27"/>
  <c r="C20" i="27"/>
  <c r="D20" i="27"/>
  <c r="H37" i="27"/>
  <c r="D140" i="27"/>
  <c r="E20" i="27"/>
  <c r="I37" i="27"/>
  <c r="C21" i="27"/>
  <c r="D21" i="27"/>
  <c r="E21" i="27"/>
  <c r="C22" i="27"/>
  <c r="D22" i="27"/>
  <c r="E22" i="27"/>
  <c r="C23" i="27"/>
  <c r="C26" i="27"/>
  <c r="D26" i="27"/>
  <c r="E26" i="27"/>
  <c r="C28" i="27"/>
  <c r="G6" i="27"/>
  <c r="H6" i="27"/>
  <c r="H40" i="27"/>
  <c r="I6" i="27"/>
  <c r="I40" i="27"/>
  <c r="G7" i="27"/>
  <c r="H7" i="27"/>
  <c r="I7" i="27"/>
  <c r="I41" i="27"/>
  <c r="G8" i="27"/>
  <c r="G9" i="27"/>
  <c r="H9" i="27"/>
  <c r="H43" i="27"/>
  <c r="I9" i="27"/>
  <c r="I43" i="27"/>
  <c r="G10" i="27"/>
  <c r="G12" i="27"/>
  <c r="H12" i="27"/>
  <c r="I12" i="27"/>
  <c r="G13" i="27"/>
  <c r="H13" i="27"/>
  <c r="I13" i="27"/>
  <c r="G14" i="27"/>
  <c r="H14" i="27"/>
  <c r="D48" i="27"/>
  <c r="I14" i="27"/>
  <c r="E48" i="27"/>
  <c r="G15" i="27"/>
  <c r="H15" i="27"/>
  <c r="D37" i="27"/>
  <c r="I15" i="27"/>
  <c r="E37" i="27"/>
  <c r="G16" i="27"/>
  <c r="H16" i="27"/>
  <c r="I16" i="27"/>
  <c r="G17" i="27"/>
  <c r="G19" i="27"/>
  <c r="H19" i="27"/>
  <c r="H34" i="27"/>
  <c r="I19" i="27"/>
  <c r="I34" i="27"/>
  <c r="G20" i="27"/>
  <c r="H20" i="27"/>
  <c r="H33" i="27"/>
  <c r="I20" i="27"/>
  <c r="I33" i="27"/>
  <c r="G21" i="27"/>
  <c r="H21" i="27"/>
  <c r="D34" i="27"/>
  <c r="D207" i="27"/>
  <c r="I21" i="27"/>
  <c r="E34" i="27"/>
  <c r="G22" i="27"/>
  <c r="H22" i="27"/>
  <c r="I22" i="27"/>
  <c r="G23" i="27"/>
  <c r="H23" i="27"/>
  <c r="I23" i="27"/>
  <c r="G24" i="27"/>
  <c r="G26" i="27"/>
  <c r="G28" i="27"/>
  <c r="H26" i="27"/>
  <c r="D73" i="27"/>
  <c r="D103" i="27"/>
  <c r="I156" i="18"/>
  <c r="E67" i="27"/>
  <c r="I30" i="6"/>
  <c r="I33" i="6"/>
  <c r="H157" i="18"/>
  <c r="C80" i="27"/>
  <c r="C82" i="27"/>
  <c r="F71" i="12"/>
  <c r="F21" i="12"/>
  <c r="H78" i="6"/>
  <c r="G5" i="12"/>
  <c r="I157" i="18"/>
  <c r="D42" i="27"/>
  <c r="G78" i="6"/>
  <c r="H5" i="18"/>
  <c r="D194" i="27"/>
  <c r="G5" i="18"/>
  <c r="H5" i="12"/>
  <c r="H71" i="12"/>
  <c r="H156" i="18"/>
  <c r="D36" i="27"/>
  <c r="D100" i="27"/>
  <c r="E100" i="27"/>
  <c r="D129" i="27"/>
  <c r="D87" i="27"/>
  <c r="E203" i="27"/>
  <c r="E212" i="27"/>
  <c r="E90" i="27"/>
  <c r="H165" i="18"/>
  <c r="G133" i="18"/>
  <c r="G157" i="18"/>
  <c r="H97" i="18"/>
  <c r="F75" i="18"/>
  <c r="H75" i="18"/>
  <c r="D76" i="27"/>
  <c r="F95" i="18"/>
  <c r="F97" i="18"/>
  <c r="D201" i="27"/>
  <c r="D85" i="27"/>
  <c r="D4" i="27"/>
  <c r="H4" i="27"/>
  <c r="D57" i="27"/>
  <c r="D286" i="27"/>
  <c r="D242" i="27"/>
  <c r="D252" i="27"/>
  <c r="D216" i="27"/>
  <c r="D107" i="27"/>
  <c r="F71" i="18"/>
  <c r="G75" i="18"/>
  <c r="H8" i="27"/>
  <c r="H10" i="27"/>
  <c r="E42" i="27"/>
  <c r="D82" i="27"/>
  <c r="D94" i="27"/>
  <c r="E197" i="27"/>
  <c r="E36" i="27"/>
  <c r="D49" i="27"/>
  <c r="D50" i="27"/>
  <c r="G134" i="18"/>
  <c r="G156" i="18"/>
  <c r="G97" i="18"/>
  <c r="F82" i="18"/>
  <c r="I11" i="18"/>
  <c r="H11" i="18"/>
  <c r="D331" i="27"/>
  <c r="G141" i="18"/>
  <c r="I35" i="27"/>
  <c r="I36" i="27"/>
  <c r="I38" i="27"/>
  <c r="E218" i="27"/>
  <c r="H35" i="27"/>
  <c r="H36" i="27"/>
  <c r="D219" i="27"/>
  <c r="H41" i="27"/>
  <c r="H42" i="27"/>
  <c r="H44" i="27"/>
  <c r="D222" i="27"/>
  <c r="D264" i="27"/>
  <c r="E88" i="27"/>
  <c r="E204" i="27"/>
  <c r="I24" i="27"/>
  <c r="E247" i="27"/>
  <c r="D88" i="27"/>
  <c r="D204" i="27"/>
  <c r="D213" i="27"/>
  <c r="D89" i="27"/>
  <c r="D98" i="27"/>
  <c r="D224" i="27"/>
  <c r="D257" i="27"/>
  <c r="D14" i="27"/>
  <c r="D38" i="27"/>
  <c r="I17" i="27"/>
  <c r="D254" i="27"/>
  <c r="E38" i="27"/>
  <c r="D245" i="27"/>
  <c r="D208" i="27"/>
  <c r="D214" i="27"/>
  <c r="H24" i="27"/>
  <c r="D247" i="27"/>
  <c r="E254" i="27"/>
  <c r="H17" i="27"/>
  <c r="D41" i="27"/>
  <c r="D43" i="27"/>
  <c r="D196" i="27"/>
  <c r="I8" i="27"/>
  <c r="I10" i="27"/>
  <c r="E41" i="27"/>
  <c r="E98" i="27"/>
  <c r="D127" i="27"/>
  <c r="E49" i="27"/>
  <c r="E50" i="27"/>
  <c r="E64" i="27"/>
  <c r="E71" i="27"/>
  <c r="E74" i="27"/>
  <c r="E82" i="27"/>
  <c r="E94" i="27"/>
  <c r="D64" i="27"/>
  <c r="D71" i="27"/>
  <c r="D74" i="27"/>
  <c r="I42" i="27"/>
  <c r="I44" i="27"/>
  <c r="D206" i="27"/>
  <c r="D212" i="27"/>
  <c r="E207" i="27"/>
  <c r="E208" i="27"/>
  <c r="E214" i="27"/>
  <c r="D90" i="27"/>
  <c r="E14" i="27"/>
  <c r="E23" i="27"/>
  <c r="D23" i="27"/>
  <c r="G21" i="12"/>
  <c r="G71" i="12"/>
  <c r="H38" i="27"/>
  <c r="D218" i="27"/>
  <c r="D231" i="27"/>
  <c r="D31" i="27"/>
  <c r="D39" i="27"/>
  <c r="H21" i="12"/>
  <c r="I5" i="18"/>
  <c r="I71" i="12"/>
  <c r="D91" i="27"/>
  <c r="D92" i="27"/>
  <c r="D131" i="27"/>
  <c r="H31" i="27"/>
  <c r="H160" i="18"/>
  <c r="H167" i="18"/>
  <c r="F77" i="18"/>
  <c r="G74" i="12" s="1"/>
  <c r="G165" i="18"/>
  <c r="E43" i="27"/>
  <c r="E196" i="27"/>
  <c r="D311" i="27"/>
  <c r="I84" i="18"/>
  <c r="H77" i="18"/>
  <c r="H84" i="18"/>
  <c r="E224" i="27"/>
  <c r="E257" i="27"/>
  <c r="E39" i="27"/>
  <c r="I159" i="18"/>
  <c r="F91" i="18"/>
  <c r="F99" i="18"/>
  <c r="G135" i="18"/>
  <c r="G168" i="18"/>
  <c r="E213" i="27"/>
  <c r="G125" i="18"/>
  <c r="G77" i="18"/>
  <c r="G84" i="18"/>
  <c r="E219" i="27"/>
  <c r="E220" i="27"/>
  <c r="I28" i="27"/>
  <c r="H169" i="18"/>
  <c r="H168" i="18"/>
  <c r="I168" i="18"/>
  <c r="I169" i="18"/>
  <c r="E91" i="27"/>
  <c r="E92" i="27"/>
  <c r="I97" i="18"/>
  <c r="G136" i="18"/>
  <c r="G169" i="18"/>
  <c r="H46" i="12"/>
  <c r="G46" i="12"/>
  <c r="J46" i="12"/>
  <c r="K46" i="12"/>
  <c r="L46" i="12"/>
  <c r="H62" i="12"/>
  <c r="G62" i="12"/>
  <c r="J62" i="12"/>
  <c r="K62" i="12"/>
  <c r="D45" i="27"/>
  <c r="D261" i="27"/>
  <c r="D268" i="27"/>
  <c r="D118" i="27"/>
  <c r="H28" i="27"/>
  <c r="E263" i="27"/>
  <c r="E28" i="27"/>
  <c r="E244" i="27"/>
  <c r="D136" i="27"/>
  <c r="E222" i="27"/>
  <c r="E264" i="27"/>
  <c r="I52" i="27"/>
  <c r="D28" i="27"/>
  <c r="D244" i="27"/>
  <c r="D132" i="27"/>
  <c r="D226" i="27"/>
  <c r="D233" i="27"/>
  <c r="D230" i="27"/>
  <c r="D121" i="27"/>
  <c r="D263" i="27"/>
  <c r="D272" i="27"/>
  <c r="H52" i="27"/>
  <c r="E107" i="27"/>
  <c r="E194" i="27"/>
  <c r="E57" i="27"/>
  <c r="E76" i="27"/>
  <c r="E216" i="27"/>
  <c r="E286" i="27"/>
  <c r="E242" i="27"/>
  <c r="E4" i="27"/>
  <c r="E201" i="27"/>
  <c r="E31" i="27"/>
  <c r="E85" i="27"/>
  <c r="E252" i="27"/>
  <c r="D114" i="27"/>
  <c r="J71" i="12"/>
  <c r="D95" i="27"/>
  <c r="D227" i="27"/>
  <c r="D234" i="27"/>
  <c r="I21" i="12"/>
  <c r="I19" i="12"/>
  <c r="C4" i="17"/>
  <c r="E272" i="27"/>
  <c r="E45" i="27"/>
  <c r="E261" i="27"/>
  <c r="E268" i="27"/>
  <c r="I160" i="18"/>
  <c r="I167" i="18"/>
  <c r="D122" i="27"/>
  <c r="E198" i="27"/>
  <c r="E326" i="27"/>
  <c r="E311" i="27"/>
  <c r="I166" i="18"/>
  <c r="E226" i="27"/>
  <c r="E233" i="27"/>
  <c r="D52" i="27"/>
  <c r="D262" i="27"/>
  <c r="E95" i="27"/>
  <c r="I22" i="18"/>
  <c r="I99" i="18"/>
  <c r="I101" i="18"/>
  <c r="G22" i="18"/>
  <c r="H22" i="18"/>
  <c r="G159" i="18"/>
  <c r="G166" i="18"/>
  <c r="H166" i="18"/>
  <c r="H159" i="18"/>
  <c r="E230" i="27"/>
  <c r="E52" i="27"/>
  <c r="E262" i="27"/>
  <c r="E246" i="27"/>
  <c r="E250" i="27"/>
  <c r="E249" i="27"/>
  <c r="D246" i="27"/>
  <c r="D250" i="27"/>
  <c r="D249" i="27"/>
  <c r="E231" i="27"/>
  <c r="D101" i="27"/>
  <c r="D109" i="27"/>
  <c r="D96" i="27"/>
  <c r="D255" i="27"/>
  <c r="D269" i="27"/>
  <c r="I4" i="27"/>
  <c r="I31" i="27"/>
  <c r="K71" i="12"/>
  <c r="D298" i="27"/>
  <c r="D320" i="27"/>
  <c r="D307" i="27"/>
  <c r="C5" i="17"/>
  <c r="J21" i="12"/>
  <c r="E255" i="27"/>
  <c r="E269" i="27"/>
  <c r="E96" i="27"/>
  <c r="E101" i="27"/>
  <c r="D116" i="27"/>
  <c r="E227" i="27"/>
  <c r="E234" i="27"/>
  <c r="I158" i="18"/>
  <c r="I32" i="18"/>
  <c r="H164" i="18"/>
  <c r="H170" i="18"/>
  <c r="H32" i="18"/>
  <c r="G130" i="18"/>
  <c r="G158" i="18"/>
  <c r="H158" i="18"/>
  <c r="G32" i="18"/>
  <c r="G164" i="18"/>
  <c r="G140" i="18"/>
  <c r="D104" i="27"/>
  <c r="K21" i="12"/>
  <c r="E307" i="27"/>
  <c r="E298" i="27"/>
  <c r="E320" i="27"/>
  <c r="L71" i="12"/>
  <c r="I144" i="18"/>
  <c r="G128" i="18"/>
  <c r="G137" i="18" s="1"/>
  <c r="G143" i="18" s="1"/>
  <c r="G144" i="18" s="1"/>
  <c r="H144" i="18"/>
  <c r="E104" i="27"/>
  <c r="E109" i="27"/>
  <c r="H161" i="18"/>
  <c r="H162" i="18"/>
  <c r="I164" i="18"/>
  <c r="D238" i="27"/>
  <c r="D105" i="27"/>
  <c r="D258" i="27"/>
  <c r="D271" i="27"/>
  <c r="D110" i="27"/>
  <c r="D260" i="27"/>
  <c r="D267" i="27"/>
  <c r="D274" i="27"/>
  <c r="D281" i="27"/>
  <c r="D282" i="27"/>
  <c r="D300" i="27"/>
  <c r="L21" i="12"/>
  <c r="M71" i="12"/>
  <c r="H171" i="18"/>
  <c r="E260" i="27"/>
  <c r="E267" i="27"/>
  <c r="E274" i="27"/>
  <c r="E110" i="27"/>
  <c r="E281" i="27"/>
  <c r="E282" i="27"/>
  <c r="E258" i="27"/>
  <c r="E271" i="27"/>
  <c r="E238" i="27"/>
  <c r="E105" i="27"/>
  <c r="E300" i="27"/>
  <c r="D315" i="27"/>
  <c r="D283" i="27"/>
  <c r="D284" i="27"/>
  <c r="D111" i="27"/>
  <c r="D112" i="27"/>
  <c r="D256" i="27"/>
  <c r="D266" i="27"/>
  <c r="D277" i="27"/>
  <c r="D278" i="27"/>
  <c r="D290" i="27"/>
  <c r="D293" i="27"/>
  <c r="D295" i="27"/>
  <c r="D240" i="27"/>
  <c r="N71" i="12"/>
  <c r="M21" i="12"/>
  <c r="E283" i="27"/>
  <c r="D301" i="27"/>
  <c r="E284" i="27"/>
  <c r="E290" i="27"/>
  <c r="E293" i="27"/>
  <c r="E295" i="27"/>
  <c r="E240" i="27"/>
  <c r="E112" i="27"/>
  <c r="E256" i="27"/>
  <c r="E266" i="27"/>
  <c r="E277" i="27"/>
  <c r="E278" i="27"/>
  <c r="E111" i="27"/>
  <c r="D126" i="27"/>
  <c r="D117" i="27"/>
  <c r="D119" i="27"/>
  <c r="D124" i="27"/>
  <c r="E315" i="27"/>
  <c r="D304" i="27"/>
  <c r="D324" i="27"/>
  <c r="D275" i="27"/>
  <c r="N21" i="12"/>
  <c r="O5" i="12"/>
  <c r="O71" i="12"/>
  <c r="E304" i="27"/>
  <c r="E324" i="27"/>
  <c r="D134" i="27"/>
  <c r="D138" i="27"/>
  <c r="D141" i="27"/>
  <c r="D142" i="27"/>
  <c r="E228" i="27"/>
  <c r="E236" i="27"/>
  <c r="E275" i="27"/>
  <c r="E301" i="27"/>
  <c r="O21" i="12"/>
  <c r="D302" i="27"/>
  <c r="E309" i="27"/>
  <c r="D309" i="27"/>
  <c r="N39" i="17"/>
  <c r="Q46" i="17"/>
  <c r="O46" i="17"/>
  <c r="E302" i="27"/>
  <c r="D310" i="27"/>
  <c r="D322" i="27"/>
  <c r="E310" i="27"/>
  <c r="E322" i="27"/>
  <c r="H106" i="18"/>
  <c r="H107" i="18"/>
  <c r="H105" i="18"/>
  <c r="I154" i="18"/>
  <c r="G91" i="18"/>
  <c r="G99" i="18"/>
  <c r="G101" i="18"/>
  <c r="H91" i="18"/>
  <c r="H99" i="18"/>
  <c r="H101" i="18"/>
  <c r="I165" i="18"/>
  <c r="I170" i="18"/>
  <c r="I171" i="18"/>
  <c r="I161" i="18"/>
  <c r="I162" i="18"/>
  <c r="D303" i="27"/>
  <c r="E303" i="27"/>
  <c r="D305" i="27"/>
  <c r="E305" i="27"/>
  <c r="D312" i="27"/>
  <c r="E312" i="27"/>
  <c r="D313" i="27"/>
  <c r="E313" i="27"/>
  <c r="D316" i="27"/>
  <c r="E316" i="27"/>
  <c r="D317" i="27"/>
  <c r="E317" i="27"/>
  <c r="D323" i="27"/>
  <c r="E323" i="27"/>
  <c r="D325" i="27"/>
  <c r="E325" i="27"/>
  <c r="D327" i="27"/>
  <c r="E327" i="27"/>
  <c r="D328" i="27"/>
  <c r="E328" i="27"/>
  <c r="D329" i="27"/>
  <c r="E329" i="27"/>
  <c r="E331" i="27"/>
  <c r="D332" i="27"/>
  <c r="E332" i="27"/>
  <c r="E38" i="19"/>
  <c r="E37" i="19"/>
  <c r="M39" i="17"/>
  <c r="C38" i="19"/>
  <c r="C37" i="19"/>
  <c r="C39" i="19"/>
  <c r="E39" i="19"/>
  <c r="M46" i="17"/>
  <c r="G35" i="48"/>
  <c r="F35" i="48"/>
  <c r="E35" i="48"/>
  <c r="D35" i="48"/>
  <c r="C35" i="48"/>
  <c r="B33" i="48"/>
  <c r="B35" i="48"/>
  <c r="B5" i="48"/>
  <c r="N126" i="18"/>
  <c r="N13" i="18"/>
  <c r="N14" i="18"/>
  <c r="N15" i="18"/>
  <c r="N16" i="18"/>
  <c r="N20" i="18"/>
  <c r="N122" i="18"/>
  <c r="N86" i="18"/>
  <c r="N89" i="18"/>
  <c r="N127" i="18"/>
  <c r="N160" i="18"/>
  <c r="N65" i="18"/>
  <c r="N68" i="18"/>
  <c r="M126" i="18"/>
  <c r="D59" i="18"/>
  <c r="M127" i="18"/>
  <c r="M160" i="18"/>
  <c r="M20" i="18"/>
  <c r="M122" i="18"/>
  <c r="M65" i="18"/>
  <c r="M13" i="18"/>
  <c r="M68" i="18"/>
  <c r="M14" i="18"/>
  <c r="M15" i="18"/>
  <c r="M16" i="18"/>
  <c r="M86" i="18"/>
  <c r="M89" i="18"/>
  <c r="L126" i="18"/>
  <c r="D58" i="18"/>
  <c r="L127" i="18"/>
  <c r="L160" i="18"/>
  <c r="L20" i="18"/>
  <c r="L122" i="18"/>
  <c r="L13" i="18"/>
  <c r="L14" i="18"/>
  <c r="L15" i="18"/>
  <c r="L16" i="18"/>
  <c r="L86" i="18"/>
  <c r="L89" i="18"/>
  <c r="L65" i="18"/>
  <c r="L68" i="18"/>
  <c r="K126" i="18"/>
  <c r="D57" i="18"/>
  <c r="K127" i="18"/>
  <c r="K160" i="18"/>
  <c r="K20" i="18"/>
  <c r="K122" i="18"/>
  <c r="K13" i="18"/>
  <c r="K14" i="18"/>
  <c r="K15" i="18"/>
  <c r="K16" i="18"/>
  <c r="K86" i="18"/>
  <c r="K89" i="18"/>
  <c r="K65" i="18"/>
  <c r="K68" i="18"/>
  <c r="J10" i="18"/>
  <c r="K41" i="47"/>
  <c r="E32" i="17"/>
  <c r="K42" i="47"/>
  <c r="F32" i="17"/>
  <c r="D27" i="47"/>
  <c r="E52" i="19"/>
  <c r="F27" i="47"/>
  <c r="J13" i="18"/>
  <c r="J14" i="18"/>
  <c r="J15" i="18"/>
  <c r="J16" i="18"/>
  <c r="J126" i="18"/>
  <c r="J127" i="18"/>
  <c r="J86" i="18"/>
  <c r="J89" i="18"/>
  <c r="J25" i="18" s="1"/>
  <c r="J65" i="18"/>
  <c r="J68" i="18"/>
  <c r="J11" i="18"/>
  <c r="K11" i="18"/>
  <c r="K25" i="18"/>
  <c r="K132" i="18"/>
  <c r="K155" i="18"/>
  <c r="K135" i="18"/>
  <c r="K17" i="18"/>
  <c r="K66" i="18"/>
  <c r="K67" i="18"/>
  <c r="L25" i="18"/>
  <c r="L132" i="18"/>
  <c r="L155" i="18"/>
  <c r="L135" i="18"/>
  <c r="L17" i="18"/>
  <c r="L66" i="18"/>
  <c r="L67" i="18"/>
  <c r="J58" i="18"/>
  <c r="M25" i="18"/>
  <c r="M132" i="18"/>
  <c r="M155" i="18"/>
  <c r="M135" i="18"/>
  <c r="M17" i="18"/>
  <c r="M66" i="18"/>
  <c r="M67" i="18"/>
  <c r="M71" i="18"/>
  <c r="J59" i="18"/>
  <c r="N25" i="18"/>
  <c r="N132" i="18"/>
  <c r="N155" i="18"/>
  <c r="N135" i="18"/>
  <c r="N17" i="18"/>
  <c r="C8" i="40"/>
  <c r="N66" i="18"/>
  <c r="N67" i="18"/>
  <c r="D60" i="18"/>
  <c r="C15" i="40"/>
  <c r="E21" i="40"/>
  <c r="K44" i="47"/>
  <c r="F34" i="17"/>
  <c r="C51" i="19"/>
  <c r="K43" i="47"/>
  <c r="G38" i="46"/>
  <c r="G37" i="46"/>
  <c r="E34" i="17"/>
  <c r="G38" i="19"/>
  <c r="G37" i="19"/>
  <c r="J60" i="18"/>
  <c r="N71" i="18"/>
  <c r="N125" i="18"/>
  <c r="E20" i="40"/>
  <c r="L71" i="18"/>
  <c r="K71" i="18"/>
  <c r="J132" i="18"/>
  <c r="J155" i="18"/>
  <c r="J135" i="18"/>
  <c r="J160" i="18"/>
  <c r="D56" i="18"/>
  <c r="J17" i="18"/>
  <c r="H19" i="17"/>
  <c r="J66" i="18"/>
  <c r="J67" i="18"/>
  <c r="G39" i="19"/>
  <c r="G39" i="46"/>
  <c r="D26" i="47"/>
  <c r="E51" i="19"/>
  <c r="J71" i="18"/>
  <c r="J159" i="18"/>
  <c r="L40" i="47"/>
  <c r="H25" i="17"/>
  <c r="G25" i="17"/>
  <c r="G27" i="17"/>
  <c r="N19" i="17"/>
  <c r="L35" i="47"/>
  <c r="K56" i="18"/>
  <c r="K125" i="18"/>
  <c r="K159" i="18"/>
  <c r="L125" i="18"/>
  <c r="L159" i="18"/>
  <c r="M125" i="18"/>
  <c r="M159" i="18"/>
  <c r="N159" i="18"/>
  <c r="C14" i="40"/>
  <c r="F26" i="47"/>
  <c r="J61" i="18"/>
  <c r="J19" i="18" s="1"/>
  <c r="J121" i="18" s="1"/>
  <c r="J73" i="18" s="1"/>
  <c r="L57" i="18"/>
  <c r="K58" i="18"/>
  <c r="K59" i="18"/>
  <c r="K60" i="18"/>
  <c r="L41" i="47"/>
  <c r="G32" i="17"/>
  <c r="H27" i="17"/>
  <c r="N46" i="17"/>
  <c r="L42" i="47"/>
  <c r="H32" i="17"/>
  <c r="L43" i="47"/>
  <c r="F38" i="46"/>
  <c r="F37" i="46"/>
  <c r="G34" i="17"/>
  <c r="F38" i="19"/>
  <c r="F37" i="19"/>
  <c r="F39" i="19"/>
  <c r="F39" i="46"/>
  <c r="L44" i="47"/>
  <c r="H34" i="17"/>
  <c r="C48" i="46"/>
  <c r="E48" i="46"/>
  <c r="C49" i="19"/>
  <c r="D24" i="47"/>
  <c r="E49" i="19"/>
  <c r="F24" i="47"/>
  <c r="F40" i="18" l="1"/>
  <c r="F42" i="18"/>
  <c r="F105" i="18"/>
  <c r="F41" i="18"/>
  <c r="F43" i="18"/>
  <c r="F44" i="18"/>
  <c r="G11" i="18"/>
  <c r="F16" i="18"/>
  <c r="F108" i="18"/>
  <c r="L9" i="44"/>
  <c r="L8" i="44"/>
  <c r="L60" i="18"/>
  <c r="G160" i="18"/>
  <c r="F84" i="18"/>
  <c r="F101" i="18" s="1"/>
  <c r="N55" i="18"/>
  <c r="L58" i="18"/>
  <c r="K61" i="18"/>
  <c r="K19" i="18" s="1"/>
  <c r="M57" i="18"/>
  <c r="L56" i="18"/>
  <c r="L59" i="18"/>
  <c r="L11" i="44"/>
  <c r="M14" i="44"/>
  <c r="L14" i="44"/>
  <c r="L10" i="44"/>
  <c r="J20" i="18"/>
  <c r="C3" i="48"/>
  <c r="M6" i="44"/>
  <c r="M12" i="44" s="1"/>
  <c r="D20" i="44" s="1"/>
  <c r="D25" i="44" s="1"/>
  <c r="D45" i="44" s="1"/>
  <c r="D46" i="44" s="1"/>
  <c r="D47" i="44" s="1"/>
  <c r="F12" i="12" s="1"/>
  <c r="N26" i="12" s="1"/>
  <c r="H23" i="47"/>
  <c r="O10" i="44"/>
  <c r="Q10" i="44" s="1"/>
  <c r="B6" i="41"/>
  <c r="O10" i="43"/>
  <c r="Q10" i="43" s="1"/>
  <c r="Q12" i="43" s="1"/>
  <c r="N12" i="43"/>
  <c r="H30" i="47"/>
  <c r="B9" i="41"/>
  <c r="H27" i="47"/>
  <c r="B8" i="41"/>
  <c r="H37" i="19"/>
  <c r="H38" i="19"/>
  <c r="H39" i="46"/>
  <c r="G7" i="40"/>
  <c r="F21" i="18" l="1"/>
  <c r="F17" i="18"/>
  <c r="M59" i="18"/>
  <c r="N57" i="18"/>
  <c r="G167" i="18"/>
  <c r="G170" i="18" s="1"/>
  <c r="G171" i="18" s="1"/>
  <c r="G161" i="18"/>
  <c r="G162" i="18" s="1"/>
  <c r="K21" i="18"/>
  <c r="K121" i="18"/>
  <c r="N56" i="18"/>
  <c r="L61" i="18"/>
  <c r="L19" i="18" s="1"/>
  <c r="M58" i="18"/>
  <c r="N58" i="18" s="1"/>
  <c r="M60" i="18"/>
  <c r="J122" i="18"/>
  <c r="J21" i="18"/>
  <c r="Q12" i="44"/>
  <c r="Q14" i="44" s="1"/>
  <c r="D28" i="43"/>
  <c r="Q14" i="43"/>
  <c r="H39" i="19"/>
  <c r="G8" i="40"/>
  <c r="G15" i="40"/>
  <c r="G9" i="40" s="1"/>
  <c r="G13" i="40" s="1"/>
  <c r="F118" i="18" l="1"/>
  <c r="F28" i="18"/>
  <c r="F22" i="18"/>
  <c r="L121" i="18"/>
  <c r="L154" i="18" s="1"/>
  <c r="L21" i="18"/>
  <c r="M61" i="18"/>
  <c r="M19" i="18" s="1"/>
  <c r="K22" i="18"/>
  <c r="K28" i="18"/>
  <c r="K118" i="18"/>
  <c r="N59" i="18"/>
  <c r="N60" i="18"/>
  <c r="K154" i="18"/>
  <c r="K73" i="18"/>
  <c r="J19" i="17"/>
  <c r="J28" i="18"/>
  <c r="J118" i="18"/>
  <c r="J22" i="18"/>
  <c r="J74" i="18"/>
  <c r="J154" i="18"/>
  <c r="D28" i="44"/>
  <c r="D34" i="44" s="1"/>
  <c r="D34" i="43"/>
  <c r="F13" i="12" s="1"/>
  <c r="D30" i="43"/>
  <c r="D32" i="43" s="1"/>
  <c r="G10" i="40"/>
  <c r="G11" i="40" s="1"/>
  <c r="G12" i="40" s="1"/>
  <c r="G16" i="40" s="1"/>
  <c r="F31" i="18" l="1"/>
  <c r="F45" i="18"/>
  <c r="F119" i="18"/>
  <c r="F120" i="18" s="1"/>
  <c r="F123" i="18" s="1"/>
  <c r="N61" i="18"/>
  <c r="N19" i="18" s="1"/>
  <c r="N121" i="18" s="1"/>
  <c r="N154" i="18" s="1"/>
  <c r="L73" i="18"/>
  <c r="K30" i="18"/>
  <c r="K31" i="18" s="1"/>
  <c r="M121" i="18"/>
  <c r="M154" i="18" s="1"/>
  <c r="M21" i="18"/>
  <c r="K119" i="18"/>
  <c r="K120" i="18" s="1"/>
  <c r="K123" i="18" s="1"/>
  <c r="K128" i="18" s="1"/>
  <c r="L28" i="18"/>
  <c r="L118" i="18"/>
  <c r="L22" i="18"/>
  <c r="K74" i="18"/>
  <c r="J75" i="18"/>
  <c r="J77" i="18" s="1"/>
  <c r="J119" i="18"/>
  <c r="J120" i="18"/>
  <c r="J123" i="18" s="1"/>
  <c r="J128" i="18" s="1"/>
  <c r="J30" i="18"/>
  <c r="J31" i="18" s="1"/>
  <c r="N40" i="47"/>
  <c r="L25" i="17"/>
  <c r="L27" i="17" s="1"/>
  <c r="K25" i="17"/>
  <c r="P19" i="17"/>
  <c r="N35" i="47" s="1"/>
  <c r="D47" i="43"/>
  <c r="F14" i="12"/>
  <c r="F49" i="18" l="1"/>
  <c r="F32" i="18"/>
  <c r="F36" i="18"/>
  <c r="N21" i="18"/>
  <c r="N118" i="18" s="1"/>
  <c r="C9" i="40"/>
  <c r="M73" i="18"/>
  <c r="N73" i="18" s="1"/>
  <c r="K32" i="18"/>
  <c r="K153" i="18"/>
  <c r="K34" i="18"/>
  <c r="K139" i="18" s="1"/>
  <c r="K36" i="18"/>
  <c r="M28" i="18"/>
  <c r="M118" i="18"/>
  <c r="M22" i="18"/>
  <c r="L119" i="18"/>
  <c r="L120" i="18" s="1"/>
  <c r="L123" i="18" s="1"/>
  <c r="L128" i="18" s="1"/>
  <c r="L30" i="18"/>
  <c r="L31" i="18" s="1"/>
  <c r="K45" i="18"/>
  <c r="K130" i="18"/>
  <c r="K158" i="18" s="1"/>
  <c r="C10" i="40"/>
  <c r="C13" i="40"/>
  <c r="K27" i="17"/>
  <c r="P46" i="17"/>
  <c r="N42" i="47"/>
  <c r="L32" i="17"/>
  <c r="J153" i="18"/>
  <c r="L19" i="17"/>
  <c r="J34" i="18"/>
  <c r="J139" i="18" s="1"/>
  <c r="J32" i="18"/>
  <c r="J130" i="18"/>
  <c r="J158" i="18" s="1"/>
  <c r="J45" i="18"/>
  <c r="J74" i="12"/>
  <c r="J73" i="12"/>
  <c r="J84" i="18"/>
  <c r="L74" i="18"/>
  <c r="K75" i="18"/>
  <c r="K77" i="18" s="1"/>
  <c r="F11" i="12"/>
  <c r="F65" i="12"/>
  <c r="F49" i="12"/>
  <c r="N28" i="18" l="1"/>
  <c r="N30" i="18" s="1"/>
  <c r="N31" i="18" s="1"/>
  <c r="N22" i="18"/>
  <c r="J137" i="18"/>
  <c r="M119" i="18"/>
  <c r="M120" i="18" s="1"/>
  <c r="M123" i="18" s="1"/>
  <c r="M128" i="18" s="1"/>
  <c r="C11" i="40"/>
  <c r="C12" i="40" s="1"/>
  <c r="C16" i="40" s="1"/>
  <c r="K137" i="18"/>
  <c r="M30" i="18"/>
  <c r="N119" i="18"/>
  <c r="N120" i="18" s="1"/>
  <c r="J36" i="18"/>
  <c r="L153" i="18"/>
  <c r="L32" i="18"/>
  <c r="L34" i="18"/>
  <c r="L139" i="18" s="1"/>
  <c r="J94" i="18"/>
  <c r="L45" i="18"/>
  <c r="L130" i="18"/>
  <c r="L158" i="18" s="1"/>
  <c r="K161" i="18"/>
  <c r="K73" i="12"/>
  <c r="K84" i="18"/>
  <c r="K74" i="12"/>
  <c r="K75" i="12" s="1"/>
  <c r="M74" i="18"/>
  <c r="L75" i="18"/>
  <c r="L77" i="18" s="1"/>
  <c r="J95" i="18"/>
  <c r="K94" i="18"/>
  <c r="O25" i="17"/>
  <c r="P25" i="17"/>
  <c r="P32" i="17" s="1"/>
  <c r="R19" i="17"/>
  <c r="J161" i="18"/>
  <c r="N44" i="47"/>
  <c r="L34" i="17"/>
  <c r="N41" i="47"/>
  <c r="K32" i="17"/>
  <c r="K24" i="12"/>
  <c r="N24" i="12"/>
  <c r="J24" i="12"/>
  <c r="M24" i="12"/>
  <c r="L47" i="12"/>
  <c r="J75" i="12"/>
  <c r="L24" i="12"/>
  <c r="F50" i="12"/>
  <c r="F51" i="12" s="1"/>
  <c r="F48" i="12"/>
  <c r="F47" i="12" s="1"/>
  <c r="F66" i="12"/>
  <c r="F67" i="12" s="1"/>
  <c r="F64" i="12"/>
  <c r="F63" i="12" s="1"/>
  <c r="L63" i="12"/>
  <c r="L137" i="18" l="1"/>
  <c r="L36" i="18"/>
  <c r="N153" i="18"/>
  <c r="N34" i="18"/>
  <c r="N139" i="18" s="1"/>
  <c r="N32" i="18"/>
  <c r="N130" i="18"/>
  <c r="N158" i="18" s="1"/>
  <c r="N45" i="18"/>
  <c r="L161" i="18"/>
  <c r="K23" i="12"/>
  <c r="K25" i="12" s="1"/>
  <c r="K162" i="18"/>
  <c r="M130" i="18"/>
  <c r="M158" i="18" s="1"/>
  <c r="M45" i="18"/>
  <c r="N123" i="18"/>
  <c r="N128" i="18" s="1"/>
  <c r="E12" i="40"/>
  <c r="I16" i="40"/>
  <c r="M31" i="18"/>
  <c r="N43" i="47"/>
  <c r="D38" i="46"/>
  <c r="D37" i="46"/>
  <c r="K34" i="17"/>
  <c r="D38" i="19"/>
  <c r="D37" i="19"/>
  <c r="C49" i="46"/>
  <c r="E49" i="46" s="1"/>
  <c r="C50" i="19"/>
  <c r="J23" i="12"/>
  <c r="J25" i="12" s="1"/>
  <c r="J162" i="18"/>
  <c r="P34" i="17"/>
  <c r="P39" i="17"/>
  <c r="O32" i="17"/>
  <c r="R46" i="17"/>
  <c r="K95" i="18"/>
  <c r="L94" i="18"/>
  <c r="J140" i="18"/>
  <c r="J143" i="18" s="1"/>
  <c r="J97" i="18"/>
  <c r="L73" i="12"/>
  <c r="L84" i="18"/>
  <c r="L74" i="12"/>
  <c r="L75" i="12" s="1"/>
  <c r="L76" i="12" s="1"/>
  <c r="N74" i="18"/>
  <c r="N75" i="18" s="1"/>
  <c r="N77" i="18" s="1"/>
  <c r="M75" i="18"/>
  <c r="M77" i="18" s="1"/>
  <c r="J76" i="12"/>
  <c r="K76" i="12"/>
  <c r="N137" i="18" l="1"/>
  <c r="N36" i="18"/>
  <c r="N161" i="18"/>
  <c r="N162" i="18" s="1"/>
  <c r="L23" i="12"/>
  <c r="L25" i="12" s="1"/>
  <c r="L162" i="18"/>
  <c r="M153" i="18"/>
  <c r="M161" i="18" s="1"/>
  <c r="M34" i="18"/>
  <c r="M139" i="18" s="1"/>
  <c r="M32" i="18"/>
  <c r="M137" i="18"/>
  <c r="C17" i="40"/>
  <c r="M73" i="12"/>
  <c r="M84" i="18"/>
  <c r="E22" i="40"/>
  <c r="E23" i="40" s="1"/>
  <c r="E16" i="40" s="1"/>
  <c r="O23" i="12" s="1"/>
  <c r="N27" i="12" s="1"/>
  <c r="I29" i="12" s="1"/>
  <c r="N74" i="12"/>
  <c r="O74" i="12" s="1"/>
  <c r="M74" i="12"/>
  <c r="M75" i="12" s="1"/>
  <c r="M76" i="12" s="1"/>
  <c r="N73" i="12"/>
  <c r="N84" i="18"/>
  <c r="J113" i="18"/>
  <c r="J114" i="18" s="1"/>
  <c r="L95" i="18"/>
  <c r="K140" i="18"/>
  <c r="K143" i="18" s="1"/>
  <c r="K97" i="18"/>
  <c r="B38" i="46"/>
  <c r="B37" i="46"/>
  <c r="O34" i="17"/>
  <c r="O39" i="17"/>
  <c r="B38" i="19"/>
  <c r="B37" i="19"/>
  <c r="D25" i="47"/>
  <c r="E50" i="19"/>
  <c r="F25" i="47" s="1"/>
  <c r="D39" i="19"/>
  <c r="D39" i="46"/>
  <c r="N23" i="12" l="1"/>
  <c r="N25" i="12" s="1"/>
  <c r="M36" i="18"/>
  <c r="M23" i="12"/>
  <c r="M25" i="12" s="1"/>
  <c r="M162" i="18"/>
  <c r="O75" i="12"/>
  <c r="N77" i="12" s="1"/>
  <c r="I79" i="12" s="1"/>
  <c r="M94" i="18"/>
  <c r="N94" i="18" s="1"/>
  <c r="N95" i="18" s="1"/>
  <c r="B39" i="19"/>
  <c r="B39" i="46"/>
  <c r="K113" i="18"/>
  <c r="L140" i="18"/>
  <c r="L143" i="18" s="1"/>
  <c r="L97" i="18"/>
  <c r="J90" i="18"/>
  <c r="K112" i="18"/>
  <c r="N75" i="12"/>
  <c r="N76" i="12" s="1"/>
  <c r="I78" i="12" s="1"/>
  <c r="K114" i="18" l="1"/>
  <c r="K90" i="18" s="1"/>
  <c r="I28" i="12"/>
  <c r="I33" i="12" s="1"/>
  <c r="I40" i="17" s="1"/>
  <c r="M95" i="18"/>
  <c r="N140" i="18" s="1"/>
  <c r="N143" i="18" s="1"/>
  <c r="I81" i="12"/>
  <c r="I83" i="12" s="1"/>
  <c r="I87" i="12" s="1"/>
  <c r="I89" i="12" s="1"/>
  <c r="J91" i="18"/>
  <c r="J99" i="18" s="1"/>
  <c r="J101" i="18" s="1"/>
  <c r="J144" i="18"/>
  <c r="L113" i="18"/>
  <c r="N97" i="18"/>
  <c r="M97" i="18" l="1"/>
  <c r="M140" i="18"/>
  <c r="M143" i="18" s="1"/>
  <c r="L112" i="18"/>
  <c r="I41" i="12"/>
  <c r="L64" i="12" s="1"/>
  <c r="H40" i="17"/>
  <c r="E40" i="17"/>
  <c r="L40" i="17"/>
  <c r="G40" i="17"/>
  <c r="K40" i="17"/>
  <c r="I37" i="12"/>
  <c r="O40" i="17" s="1"/>
  <c r="J40" i="17"/>
  <c r="F40" i="17"/>
  <c r="M113" i="18"/>
  <c r="N113" i="18"/>
  <c r="L114" i="18"/>
  <c r="K91" i="18"/>
  <c r="K99" i="18" s="1"/>
  <c r="K101" i="18" s="1"/>
  <c r="K144" i="18"/>
  <c r="F62" i="12" l="1"/>
  <c r="L48" i="12"/>
  <c r="N40" i="17"/>
  <c r="I39" i="12"/>
  <c r="C48" i="19" s="1"/>
  <c r="D54" i="19" s="1"/>
  <c r="E30" i="47" s="1"/>
  <c r="F46" i="12"/>
  <c r="P40" i="17"/>
  <c r="M40" i="17"/>
  <c r="L90" i="18"/>
  <c r="M112" i="18"/>
  <c r="M114" i="18" s="1"/>
  <c r="E48" i="19" l="1"/>
  <c r="E54" i="19" s="1"/>
  <c r="F30" i="47" s="1"/>
  <c r="C47" i="46"/>
  <c r="D51" i="46" s="1"/>
  <c r="D52" i="46" s="1"/>
  <c r="I40" i="12"/>
  <c r="D55" i="19"/>
  <c r="E31" i="47" s="1"/>
  <c r="D23" i="47"/>
  <c r="M90" i="18"/>
  <c r="N112" i="18"/>
  <c r="N114" i="18" s="1"/>
  <c r="N90" i="18" s="1"/>
  <c r="L91" i="18"/>
  <c r="L99" i="18" s="1"/>
  <c r="L101" i="18" s="1"/>
  <c r="L144" i="18"/>
  <c r="F23" i="47" l="1"/>
  <c r="E55" i="19"/>
  <c r="F31" i="47" s="1"/>
  <c r="E47" i="46"/>
  <c r="E51" i="46" s="1"/>
  <c r="N91" i="18"/>
  <c r="N99" i="18" s="1"/>
  <c r="N101" i="18" s="1"/>
  <c r="N144" i="18"/>
  <c r="M91" i="18"/>
  <c r="M99" i="18" s="1"/>
  <c r="M101" i="18" s="1"/>
  <c r="M144" i="18"/>
  <c r="C5"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O15" authorId="0" shapeId="0" xr:uid="{00000000-0006-0000-0200-000001000000}">
      <text>
        <r>
          <rPr>
            <sz val="7"/>
            <color rgb="FF000000"/>
            <rFont val="Tahoma"/>
            <family val="2"/>
          </rPr>
          <t xml:space="preserve">Type historical </t>
        </r>
        <r>
          <rPr>
            <b/>
            <sz val="7"/>
            <color rgb="FF000000"/>
            <rFont val="Tahoma"/>
            <family val="2"/>
          </rPr>
          <t>consolidated</t>
        </r>
        <r>
          <rPr>
            <sz val="7"/>
            <color rgb="FF000000"/>
            <rFont val="Tahoma"/>
            <family val="2"/>
          </rPr>
          <t xml:space="preserve"> financial statements, IS and BS.
</t>
        </r>
        <r>
          <rPr>
            <sz val="7"/>
            <color rgb="FF000000"/>
            <rFont val="Tahoma"/>
            <family val="2"/>
          </rPr>
          <t xml:space="preserve">Ignore historical cash flows. You will build a new cash flow statement.
</t>
        </r>
        <r>
          <rPr>
            <sz val="7"/>
            <color rgb="FF000000"/>
            <rFont val="Tahoma"/>
            <family val="2"/>
          </rPr>
          <t xml:space="preserve">
</t>
        </r>
        <r>
          <rPr>
            <sz val="7"/>
            <color rgb="FF000000"/>
            <rFont val="Tahoma"/>
            <family val="2"/>
          </rPr>
          <t xml:space="preserve">
</t>
        </r>
      </text>
    </comment>
    <comment ref="B49" authorId="0" shapeId="0" xr:uid="{BD7C3FD6-A168-4642-9525-404967B6A8EF}">
      <text>
        <r>
          <rPr>
            <sz val="9"/>
            <color indexed="81"/>
            <rFont val="Tahoma"/>
            <family val="2"/>
          </rPr>
          <t>Note: this item should be restated into surplus assets. It is currently restated into noncash working capital. Model to be update</t>
        </r>
        <r>
          <rPr>
            <b/>
            <sz val="9"/>
            <color indexed="81"/>
            <rFont val="Tahoma"/>
            <family val="2"/>
          </rPr>
          <t>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ALBERTO MARTINI</author>
    <author>Alberto</author>
  </authors>
  <commentList>
    <comment ref="P105" authorId="0" shapeId="0" xr:uid="{1A4D77FA-D987-4246-815E-7CAA77F08109}">
      <text>
        <r>
          <rPr>
            <sz val="8"/>
            <color rgb="FF000000"/>
            <rFont val="Arial"/>
            <family val="2"/>
          </rPr>
          <t xml:space="preserve">ALBERTO MARTINI:
</t>
        </r>
        <r>
          <rPr>
            <sz val="8"/>
            <color rgb="FF000000"/>
            <rFont val="Arial"/>
            <family val="2"/>
          </rPr>
          <t xml:space="preserve"> A.R.=(sales t*(1+VAT)*DSO driver)/365</t>
        </r>
      </text>
    </comment>
    <comment ref="P109" authorId="1" shapeId="0" xr:uid="{A44E57DA-C812-4028-BD5B-B3D0DA873F44}">
      <text>
        <r>
          <rPr>
            <b/>
            <sz val="9"/>
            <color indexed="81"/>
            <rFont val="Tahoma"/>
            <family val="2"/>
          </rPr>
          <t>Alberto:</t>
        </r>
        <r>
          <rPr>
            <sz val="9"/>
            <color indexed="81"/>
            <rFont val="Tahoma"/>
            <family val="2"/>
          </rPr>
          <t xml:space="preserve">
ST debt assumed to be 7% in 23 and 24 because of higher rates. Afterwards, we assumed interest rates will be lower, thus ST debt will increase to 2019-2020 levels</t>
        </r>
      </text>
    </comment>
    <comment ref="O116" authorId="1" shapeId="0" xr:uid="{00000000-0006-0000-0300-000002000000}">
      <text>
        <r>
          <rPr>
            <sz val="9"/>
            <color rgb="FF000000"/>
            <rFont val="Tahoma"/>
            <family val="2"/>
          </rPr>
          <t xml:space="preserve">Build cash flows.
</t>
        </r>
        <r>
          <rPr>
            <sz val="9"/>
            <color rgb="FF000000"/>
            <rFont val="Tahoma"/>
            <family val="2"/>
          </rPr>
          <t>Check that the cash value at year end in the BS matches the end value in the previous year + the CF generated in the year (row called "check").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Giovanni Martini</author>
  </authors>
  <commentList>
    <comment ref="E4" authorId="0" shapeId="0" xr:uid="{438885AA-CD78-406A-9443-1DB869619730}">
      <text>
        <r>
          <rPr>
            <sz val="8"/>
            <color theme="1"/>
            <rFont val="Arial"/>
            <family val="2"/>
          </rPr>
          <t xml:space="preserve">Market cap as of 30/12/2022:
calculated as Price*N.shares outstanding (fully diluted)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Giovanni Martini</author>
  </authors>
  <commentList>
    <comment ref="I46" authorId="0" shapeId="0" xr:uid="{6DDD0B3D-3313-41E6-BC92-652DA2E2D24D}">
      <text>
        <r>
          <rPr>
            <sz val="8"/>
            <color theme="1"/>
            <rFont val="Arial"/>
            <family val="2"/>
          </rPr>
          <t xml:space="preserve">it needs to be hardcoded or linked from a different sheet in order to get check=0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D2" authorId="0" shapeId="0" xr:uid="{00000000-0006-0000-1100-000001000000}">
      <text>
        <r>
          <rPr>
            <sz val="7"/>
            <color rgb="FF000000"/>
            <rFont val="Tahoma"/>
            <family val="2"/>
          </rPr>
          <t>For each comparable 6 multiples are computed, EV/Sales, EV/EBITDA, P/E, each for 2015 (actual) and 2016 (forward +1 year). Of course forward multiples will require 2016 forecast for each comparable (found on the market by consensus, no need to build a model for each..). A range of values is defined using mean and median multiples.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E2" authorId="0" shapeId="0" xr:uid="{00000000-0006-0000-1300-000001000000}">
      <text>
        <r>
          <rPr>
            <sz val="7"/>
            <color rgb="FF000000"/>
            <rFont val="Tahoma"/>
            <family val="2"/>
          </rPr>
          <t xml:space="preserve">Valuation ranges (for equity value) with all methods are summarized on a "football field".
</t>
        </r>
        <r>
          <rPr>
            <sz val="7"/>
            <color rgb="FF000000"/>
            <rFont val="Tahoma"/>
            <family val="2"/>
          </rPr>
          <t xml:space="preserve">Also Campari's market cap at the valuation date gives an additional value indicator.
</t>
        </r>
        <r>
          <rPr>
            <sz val="7"/>
            <color rgb="FF000000"/>
            <rFont val="Tahoma"/>
            <family val="2"/>
          </rPr>
          <t>Make your reasoned and defendable choice of a final value range, by looking at results and outliers.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E2" authorId="0" shapeId="0" xr:uid="{86405648-C5B9-41AD-9BE4-CA15215005E4}">
      <text>
        <r>
          <rPr>
            <sz val="7"/>
            <color rgb="FF000000"/>
            <rFont val="Tahoma"/>
            <family val="2"/>
          </rPr>
          <t xml:space="preserve">Valuation ranges (for equity value) with all methods are summarized on a "football field".
</t>
        </r>
        <r>
          <rPr>
            <sz val="7"/>
            <color rgb="FF000000"/>
            <rFont val="Tahoma"/>
            <family val="2"/>
          </rPr>
          <t xml:space="preserve">Also Campari's market cap at the valuation date gives an additional value indicator.
</t>
        </r>
        <r>
          <rPr>
            <sz val="7"/>
            <color rgb="FF000000"/>
            <rFont val="Tahoma"/>
            <family val="2"/>
          </rPr>
          <t>Make your reasoned and defendable choice of a final value range, by looking at results and outliers.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D2" authorId="0" shapeId="0" xr:uid="{74E95F22-4958-4381-9159-6F0B0C6FE0F0}">
      <text>
        <r>
          <rPr>
            <sz val="7"/>
            <color indexed="81"/>
            <rFont val="Tahoma"/>
            <family val="2"/>
          </rPr>
          <t>For each comparable 6 multiples are computed, EV/Sales, EV/EBITDA, P/E, each for 2015 (actual) and 2016 (forward +1 year). Of course forward multiples will require 2016 forecast for each comparable (found on the market by consensus, no need to build a model for each..). A range of values is defined using mean and median multiples.</t>
        </r>
      </text>
    </comment>
    <comment ref="B8" authorId="0" shapeId="0" xr:uid="{0C4E4016-A336-4989-8655-2ED2EA161A3C}">
      <text>
        <r>
          <rPr>
            <b/>
            <sz val="9"/>
            <color indexed="81"/>
            <rFont val="Tahoma"/>
            <family val="2"/>
          </rPr>
          <t>Alberto:</t>
        </r>
        <r>
          <rPr>
            <sz val="9"/>
            <color indexed="81"/>
            <rFont val="Tahoma"/>
            <family val="2"/>
          </rPr>
          <t xml:space="preserve">
Source: Factset</t>
        </r>
      </text>
    </comment>
    <comment ref="E8" authorId="0" shapeId="0" xr:uid="{BA66BE6D-CAD2-4B51-9B37-C2C7CBC07056}">
      <text>
        <r>
          <rPr>
            <b/>
            <sz val="9"/>
            <color indexed="81"/>
            <rFont val="Tahoma"/>
            <family val="2"/>
          </rPr>
          <t>Alberto:</t>
        </r>
        <r>
          <rPr>
            <sz val="9"/>
            <color indexed="81"/>
            <rFont val="Tahoma"/>
            <family val="2"/>
          </rPr>
          <t xml:space="preserve">
Market cap is calculated as P*diluted shares outstanding as of the last trading day of 2022</t>
        </r>
      </text>
    </comment>
    <comment ref="B10" authorId="0" shapeId="0" xr:uid="{83448B17-32D2-4701-A4B9-EADBA0689CA5}">
      <text>
        <r>
          <rPr>
            <b/>
            <sz val="9"/>
            <color indexed="81"/>
            <rFont val="Tahoma"/>
            <family val="2"/>
          </rPr>
          <t>Alberto:</t>
        </r>
        <r>
          <rPr>
            <sz val="9"/>
            <color indexed="81"/>
            <rFont val="Tahoma"/>
            <family val="2"/>
          </rPr>
          <t xml:space="preserve">
so called "aspirational peers" --&gt; lower multiples</t>
        </r>
      </text>
    </comment>
    <comment ref="X10" authorId="0" shapeId="0" xr:uid="{1A38D70D-A79F-4E0A-BC4E-891C13258AD3}">
      <text>
        <r>
          <rPr>
            <b/>
            <sz val="9"/>
            <color indexed="81"/>
            <rFont val="Tahoma"/>
            <family val="2"/>
          </rPr>
          <t>Alberto:</t>
        </r>
        <r>
          <rPr>
            <sz val="9"/>
            <color indexed="81"/>
            <rFont val="Tahoma"/>
            <family val="2"/>
          </rPr>
          <t xml:space="preserve">
so called "aspirational peers" --&gt; lower multiples</t>
        </r>
      </text>
    </comment>
    <comment ref="B12" authorId="0" shapeId="0" xr:uid="{BA8BB598-F6A8-4F10-A2BA-639AEE3AFD04}">
      <text>
        <r>
          <rPr>
            <b/>
            <sz val="9"/>
            <color indexed="81"/>
            <rFont val="Tahoma"/>
            <family val="2"/>
          </rPr>
          <t>Alberto:</t>
        </r>
        <r>
          <rPr>
            <sz val="9"/>
            <color indexed="81"/>
            <rFont val="Tahoma"/>
            <family val="2"/>
          </rPr>
          <t xml:space="preserve">
absolute peers --&gt; higher multiples</t>
        </r>
      </text>
    </comment>
    <comment ref="E12" authorId="0" shapeId="0" xr:uid="{FCCB8261-519D-4D8E-8D43-F4A3693D4DCD}">
      <text>
        <r>
          <rPr>
            <b/>
            <sz val="9"/>
            <color indexed="81"/>
            <rFont val="Tahoma"/>
            <family val="2"/>
          </rPr>
          <t>Alberto:</t>
        </r>
        <r>
          <rPr>
            <sz val="9"/>
            <color indexed="81"/>
            <rFont val="Tahoma"/>
            <family val="2"/>
          </rPr>
          <t xml:space="preserve">
all data is in HK dollars since Prada is listed in HK</t>
        </r>
      </text>
    </comment>
    <comment ref="X12" authorId="0" shapeId="0" xr:uid="{3CDEFCFB-E24E-43C9-9A80-A18593AE9E89}">
      <text>
        <r>
          <rPr>
            <b/>
            <sz val="9"/>
            <color indexed="81"/>
            <rFont val="Tahoma"/>
            <family val="2"/>
          </rPr>
          <t>Alberto:</t>
        </r>
        <r>
          <rPr>
            <sz val="9"/>
            <color indexed="81"/>
            <rFont val="Tahoma"/>
            <family val="2"/>
          </rPr>
          <t xml:space="preserve">
absolute peers --&gt; higher multiples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<sst xmlns="http://schemas.openxmlformats.org/spreadsheetml/2006/main" count="1012" uniqueCount="534">
  <si>
    <t>Moncler SpA</t>
  </si>
  <si>
    <t>Operating Model</t>
  </si>
  <si>
    <t>Moncler</t>
  </si>
  <si>
    <t>Financial Model</t>
  </si>
  <si>
    <t>Inputs</t>
  </si>
  <si>
    <t>Original Financial Statements</t>
  </si>
  <si>
    <t>Historicals</t>
  </si>
  <si>
    <t>Explicit forecast</t>
  </si>
  <si>
    <t>(EUR m)</t>
  </si>
  <si>
    <t>Driver</t>
  </si>
  <si>
    <t>Notes</t>
  </si>
  <si>
    <t>Color coding</t>
  </si>
  <si>
    <t>Hardcoded value</t>
  </si>
  <si>
    <t>Blue</t>
  </si>
  <si>
    <t>Calculation</t>
  </si>
  <si>
    <t>Black</t>
  </si>
  <si>
    <t>Income statement ($ M)</t>
  </si>
  <si>
    <t>Net sales</t>
  </si>
  <si>
    <t>Cost of goods sold (COGS)</t>
  </si>
  <si>
    <t>Gross margin</t>
  </si>
  <si>
    <t>Advertising and promotion</t>
  </si>
  <si>
    <t>Selling Expenses</t>
  </si>
  <si>
    <t>General &amp; administrative expenses</t>
  </si>
  <si>
    <t>One-off items</t>
  </si>
  <si>
    <t>Operating profit</t>
  </si>
  <si>
    <t>Financial income</t>
  </si>
  <si>
    <t>Financial expenses</t>
  </si>
  <si>
    <t>One-off's financial expenses</t>
  </si>
  <si>
    <t>Income from associates</t>
  </si>
  <si>
    <t>Put options costs</t>
  </si>
  <si>
    <t>Pre-tax profits</t>
  </si>
  <si>
    <t>Taxes</t>
  </si>
  <si>
    <t>Net profit</t>
  </si>
  <si>
    <t>Balance sheet</t>
  </si>
  <si>
    <t>Brands and other intangible assets - net</t>
  </si>
  <si>
    <t>Goodwill</t>
  </si>
  <si>
    <t>Property, plant and equipment - net</t>
  </si>
  <si>
    <t>Investments (in associates for consolidation)</t>
  </si>
  <si>
    <t>Other non-current assets</t>
  </si>
  <si>
    <t>Deferred tax assets</t>
  </si>
  <si>
    <t>Total non-current assets</t>
  </si>
  <si>
    <t>Inventories and work in progress</t>
  </si>
  <si>
    <t>Trade account receivables</t>
  </si>
  <si>
    <t>Current tax assets</t>
  </si>
  <si>
    <t>Other current assets</t>
  </si>
  <si>
    <t>Financial current assets</t>
  </si>
  <si>
    <t>Cash and cash equivalent</t>
  </si>
  <si>
    <t>Total current assets</t>
  </si>
  <si>
    <t>Non-current assets for sale</t>
  </si>
  <si>
    <t>Total assets</t>
  </si>
  <si>
    <t>Share capital</t>
  </si>
  <si>
    <t>Reserves</t>
  </si>
  <si>
    <t>Net result, group share</t>
  </si>
  <si>
    <t>Group's shareholders' equity</t>
  </si>
  <si>
    <t>Minorty interests</t>
  </si>
  <si>
    <t>Total shareholders' equity</t>
  </si>
  <si>
    <t>Long-term borrowings</t>
  </si>
  <si>
    <t>Other non-current financial payables</t>
  </si>
  <si>
    <t>Staff severance fund</t>
  </si>
  <si>
    <t>Deferred tax</t>
  </si>
  <si>
    <t>Total non-current liabilities</t>
  </si>
  <si>
    <t>Short-term borrowings</t>
  </si>
  <si>
    <t>Trade payables</t>
  </si>
  <si>
    <t>Payables for taxes</t>
  </si>
  <si>
    <t>Other current liabilities</t>
  </si>
  <si>
    <t>Total current liabilities</t>
  </si>
  <si>
    <t>Liabilities held for sale</t>
  </si>
  <si>
    <t>Total liabilities and equity</t>
  </si>
  <si>
    <t>Market information</t>
  </si>
  <si>
    <t>Dividend related to the year</t>
  </si>
  <si>
    <t>WA shares outstanding - Basic (m)</t>
  </si>
  <si>
    <t>WA shares outstanding - Fully diluted (m)</t>
  </si>
  <si>
    <t>Share price at year end</t>
  </si>
  <si>
    <t>Market capitalization</t>
  </si>
  <si>
    <t>Restated Financial Statements</t>
  </si>
  <si>
    <t>Income Statement</t>
  </si>
  <si>
    <t>Sales</t>
  </si>
  <si>
    <t>Growth</t>
  </si>
  <si>
    <t>In the financial statements D&amp;A is included in the COGS</t>
  </si>
  <si>
    <t>Selling, general &amp; adminsitrative expenses (SGAs)</t>
  </si>
  <si>
    <t>EBITDA</t>
  </si>
  <si>
    <t>Margin</t>
  </si>
  <si>
    <t>Depreciation</t>
  </si>
  <si>
    <t>Amortization</t>
  </si>
  <si>
    <t>EBIT</t>
  </si>
  <si>
    <t>Interest income</t>
  </si>
  <si>
    <t>Interest expenses</t>
  </si>
  <si>
    <t xml:space="preserve">Except. items </t>
  </si>
  <si>
    <t>EBT</t>
  </si>
  <si>
    <t>Income taxes</t>
  </si>
  <si>
    <t>Net income</t>
  </si>
  <si>
    <t>Dividend distribution</t>
  </si>
  <si>
    <t>Buybacks</t>
  </si>
  <si>
    <t>Retained portion</t>
  </si>
  <si>
    <t>Income Statement Assumptions</t>
  </si>
  <si>
    <t>COGS (% of revenue)</t>
  </si>
  <si>
    <t>Advertising and promotion (% of revenue)</t>
  </si>
  <si>
    <t>Selling, general &amp; adminsitrative expenses (SGAs) (%of revenue)</t>
  </si>
  <si>
    <t>Depreciation (% of revenue)</t>
  </si>
  <si>
    <t>Amortization (% of revenue)</t>
  </si>
  <si>
    <t>Tax rate</t>
  </si>
  <si>
    <t>VAT</t>
  </si>
  <si>
    <t>Income tax 1 on EBT (IRES)</t>
  </si>
  <si>
    <t>Income tax 2 on EBIT (IRAP)</t>
  </si>
  <si>
    <t>Payout Ratio</t>
  </si>
  <si>
    <t xml:space="preserve">Interest rate </t>
  </si>
  <si>
    <t>Interest income as tot. Assets</t>
  </si>
  <si>
    <t>Depreciation Schedule</t>
  </si>
  <si>
    <t>USEFUL LIFE</t>
  </si>
  <si>
    <t>Existing assets</t>
  </si>
  <si>
    <t> </t>
  </si>
  <si>
    <t>CAPEX Year 2023</t>
  </si>
  <si>
    <t>CAPEX Year 2024</t>
  </si>
  <si>
    <t>CAPEX Year 2025</t>
  </si>
  <si>
    <t>CAPEX Year 2026</t>
  </si>
  <si>
    <t>CAPEX Year 2027</t>
  </si>
  <si>
    <t>Total depreciation</t>
  </si>
  <si>
    <t>Balance Sheet</t>
  </si>
  <si>
    <t>Trade receivables</t>
  </si>
  <si>
    <t>Inventory</t>
  </si>
  <si>
    <t>Other current assets &amp; liabilities</t>
  </si>
  <si>
    <t>Deferred taxes</t>
  </si>
  <si>
    <t>Long term provisions</t>
  </si>
  <si>
    <t>Noncash working capital</t>
  </si>
  <si>
    <t>Tangible assets</t>
  </si>
  <si>
    <t>Goodwill and trademarks</t>
  </si>
  <si>
    <t>Fixed assets</t>
  </si>
  <si>
    <t>Core capital employed</t>
  </si>
  <si>
    <t>Investments</t>
  </si>
  <si>
    <t>assumed constant</t>
  </si>
  <si>
    <t>Employee severance</t>
  </si>
  <si>
    <t>Other non-operational assets</t>
  </si>
  <si>
    <t>Surplus assets</t>
  </si>
  <si>
    <t>Net capital employed</t>
  </si>
  <si>
    <t>ST financial debt</t>
  </si>
  <si>
    <t>Bank loans</t>
  </si>
  <si>
    <t>Bonds and securities</t>
  </si>
  <si>
    <t>Gross financial debt</t>
  </si>
  <si>
    <t>Excess cash &amp; equivalents</t>
  </si>
  <si>
    <t>Net debt</t>
  </si>
  <si>
    <t>Retained earnings</t>
  </si>
  <si>
    <t>Group equity</t>
  </si>
  <si>
    <t>Minorities</t>
  </si>
  <si>
    <t>Total equity</t>
  </si>
  <si>
    <t>Total funds invested</t>
  </si>
  <si>
    <t>Check</t>
  </si>
  <si>
    <t>Balance Sheet Assumptions</t>
  </si>
  <si>
    <t>A/R Days</t>
  </si>
  <si>
    <t>Inventory days</t>
  </si>
  <si>
    <t>A/P Days</t>
  </si>
  <si>
    <t>Other current assets (% of Revenue)</t>
  </si>
  <si>
    <t>ST debt (% of Revenue)</t>
  </si>
  <si>
    <t>EOP Cash Calculation</t>
  </si>
  <si>
    <t>BOP cash</t>
  </si>
  <si>
    <t>+ change in cash</t>
  </si>
  <si>
    <t>= EOP cash / overdraft</t>
  </si>
  <si>
    <t>Cash flows</t>
  </si>
  <si>
    <t>(Operational taxes)</t>
  </si>
  <si>
    <t>NOPAT</t>
  </si>
  <si>
    <t>Gross cash flows</t>
  </si>
  <si>
    <t>Change in noncash WC</t>
  </si>
  <si>
    <t>Tangible CAPEX</t>
  </si>
  <si>
    <t>Intangible CAPEX</t>
  </si>
  <si>
    <t>FCFO</t>
  </si>
  <si>
    <t>Tax shields</t>
  </si>
  <si>
    <t xml:space="preserve"> </t>
  </si>
  <si>
    <t>Change in gross debt</t>
  </si>
  <si>
    <t>Change in surplus assets</t>
  </si>
  <si>
    <t>FCFE</t>
  </si>
  <si>
    <t>Dividends</t>
  </si>
  <si>
    <t>Other movements in group equity</t>
  </si>
  <si>
    <t>Change in minorities</t>
  </si>
  <si>
    <t>Change in cash</t>
  </si>
  <si>
    <t>Cash Flow Statement Assumptions</t>
  </si>
  <si>
    <t>Tangible CAPEX (% of Revenue)</t>
  </si>
  <si>
    <t>Intangible CAPEX (% of Revenue)</t>
  </si>
  <si>
    <t>Cash flows: calculations starting from net income</t>
  </si>
  <si>
    <t>+ D&amp;A</t>
  </si>
  <si>
    <t>+ Interests</t>
  </si>
  <si>
    <t>+ Exceptionals</t>
  </si>
  <si>
    <t>+ Associates</t>
  </si>
  <si>
    <t>- Tax shields</t>
  </si>
  <si>
    <t>Change in WC</t>
  </si>
  <si>
    <t>CAPEX</t>
  </si>
  <si>
    <t>FCFF</t>
  </si>
  <si>
    <t>Revenue Assumptions Cockpit</t>
  </si>
  <si>
    <t>Sales forecast</t>
  </si>
  <si>
    <t>Market size</t>
  </si>
  <si>
    <t>Source: Statista</t>
  </si>
  <si>
    <t>Luxury Apparel</t>
  </si>
  <si>
    <t>billion USD</t>
  </si>
  <si>
    <t>Luxury Footwear</t>
  </si>
  <si>
    <t>Total</t>
  </si>
  <si>
    <t>CAGR</t>
  </si>
  <si>
    <t>Exc. Rate 31/12/20XX</t>
  </si>
  <si>
    <t>Market share (%)</t>
  </si>
  <si>
    <t>Growth rate (YoY)</t>
  </si>
  <si>
    <t>Perpetual Growth Rate</t>
  </si>
  <si>
    <t>Long-term inflation target</t>
  </si>
  <si>
    <t>Valuation</t>
  </si>
  <si>
    <t>WACC Calculation</t>
  </si>
  <si>
    <t>Country</t>
  </si>
  <si>
    <t>Currency</t>
  </si>
  <si>
    <t>Market cap.</t>
  </si>
  <si>
    <t>Total Debt</t>
  </si>
  <si>
    <t>Pensions</t>
  </si>
  <si>
    <t>Preferred shares</t>
  </si>
  <si>
    <t>EV</t>
  </si>
  <si>
    <t>Leverage</t>
  </si>
  <si>
    <t>Raw beta (M/5Y)</t>
  </si>
  <si>
    <t>Adj. levered beta</t>
  </si>
  <si>
    <t>Unlevered beta</t>
  </si>
  <si>
    <t>Italy</t>
  </si>
  <si>
    <t>United Kingdom</t>
  </si>
  <si>
    <t>Canada</t>
  </si>
  <si>
    <t>United States</t>
  </si>
  <si>
    <t>Average</t>
  </si>
  <si>
    <t>Cost of equity</t>
  </si>
  <si>
    <t>D/E - Market equilibrium (industry) leverage</t>
  </si>
  <si>
    <t>Market cap (MV of equity) at the valuation date</t>
  </si>
  <si>
    <t>Net debt at the valuation date (with MV of bonds)</t>
  </si>
  <si>
    <t>D/E - Historical Moncler leverage at the valuation date (5Y average)</t>
  </si>
  <si>
    <t>D/E - Target leverage</t>
  </si>
  <si>
    <t>Chosen leverage D/E:</t>
  </si>
  <si>
    <t>Risk Free Rate (2022 Average Bund rate)</t>
  </si>
  <si>
    <t>Unlevered Beta (Comps average)</t>
  </si>
  <si>
    <t>Tax Rate (applicable to tax shields)</t>
  </si>
  <si>
    <t>Re-Levered Beta</t>
  </si>
  <si>
    <t>Market Risk Premium (Source: Damodaran 2022)</t>
  </si>
  <si>
    <t>Levered cost of equity</t>
  </si>
  <si>
    <t>Unlevered cost of equity</t>
  </si>
  <si>
    <t>Cost of debt</t>
  </si>
  <si>
    <t>2022 interest coverage</t>
  </si>
  <si>
    <t>Spread on debt (Damodaran ICR to spread)</t>
  </si>
  <si>
    <t>WACC</t>
  </si>
  <si>
    <t>D/(D+E)</t>
  </si>
  <si>
    <t>E/(D+E)</t>
  </si>
  <si>
    <t>Terminal WACC Calculation</t>
  </si>
  <si>
    <t>Terminal Cash Flows</t>
  </si>
  <si>
    <t>Fundamental 
growth</t>
  </si>
  <si>
    <t>Bankers' normalized best practice</t>
  </si>
  <si>
    <t>Simple FCFO</t>
  </si>
  <si>
    <t>Terminal FCFO</t>
  </si>
  <si>
    <t>TV 2028</t>
  </si>
  <si>
    <t>D&amp;A</t>
  </si>
  <si>
    <t>Assumptions</t>
  </si>
  <si>
    <t>Terminal growth rate</t>
  </si>
  <si>
    <t>EBITDA margin</t>
  </si>
  <si>
    <t>CAPEX / Sales</t>
  </si>
  <si>
    <t>2027 ROCE = Assumed to be terminal ROCE</t>
  </si>
  <si>
    <t>Implied terminal capital reinvestment rate</t>
  </si>
  <si>
    <t>DCF / APV Valuation</t>
  </si>
  <si>
    <t>TV</t>
  </si>
  <si>
    <t>Perpetual growth</t>
  </si>
  <si>
    <t>Terminal WACC</t>
  </si>
  <si>
    <t>kEU</t>
  </si>
  <si>
    <t>kEL</t>
  </si>
  <si>
    <t>kD</t>
  </si>
  <si>
    <t>Tax shields - Theoretical tax rate</t>
  </si>
  <si>
    <t>Valuation date (= last fiscal year closing date)</t>
  </si>
  <si>
    <t>Year</t>
  </si>
  <si>
    <t>DCF asset side (FCFO)</t>
  </si>
  <si>
    <t>Discount factor (WACC)</t>
  </si>
  <si>
    <t>Present value of FCFO</t>
  </si>
  <si>
    <t>TV Discount Factor (Terminal WACC)</t>
  </si>
  <si>
    <t>Terminal value</t>
  </si>
  <si>
    <t>PV of FCFO</t>
  </si>
  <si>
    <t>PV of TV</t>
  </si>
  <si>
    <t>Equity Bridge</t>
  </si>
  <si>
    <t>Enterprise value</t>
  </si>
  <si>
    <t>(Net debt)</t>
  </si>
  <si>
    <t>Surplus assets (inc. associates &amp; pensions)</t>
  </si>
  <si>
    <t>(Minorities)</t>
  </si>
  <si>
    <t>Equity value</t>
  </si>
  <si>
    <t>Number of shares (NOSH) (m)</t>
  </si>
  <si>
    <t>Equity value per share (€)</t>
  </si>
  <si>
    <t>Upside</t>
  </si>
  <si>
    <t>Implied EV / EBITDA 2028A multiple</t>
  </si>
  <si>
    <t>DCF asset side: equity value sensitivity: WACC and perpetual growth</t>
  </si>
  <si>
    <t>Checks</t>
  </si>
  <si>
    <t>Sensitivity analysis</t>
  </si>
  <si>
    <t>Lower bound</t>
  </si>
  <si>
    <t>Upper bound</t>
  </si>
  <si>
    <t>DCF asset side: implied multiple sensitivity: WACC and perpetual growth</t>
  </si>
  <si>
    <t>Extra method: Economic value added (EVA)</t>
  </si>
  <si>
    <t>ROCE (on core CE)</t>
  </si>
  <si>
    <t>EVA</t>
  </si>
  <si>
    <t>Present value of EVA</t>
  </si>
  <si>
    <t>TV EVA</t>
  </si>
  <si>
    <t>PV of EVA</t>
  </si>
  <si>
    <t>PV of EVA TV</t>
  </si>
  <si>
    <t>Market value added (MVA)</t>
  </si>
  <si>
    <t>Beginning core CE</t>
  </si>
  <si>
    <t>Market multiples valuation</t>
  </si>
  <si>
    <t>Actual multiples date</t>
  </si>
  <si>
    <t>Forward +1 multiples date</t>
  </si>
  <si>
    <t>Market. cap.</t>
  </si>
  <si>
    <t>EBITDA  Actual</t>
  </si>
  <si>
    <t>EBITDA  Forward</t>
  </si>
  <si>
    <t>EBIT   Actual</t>
  </si>
  <si>
    <t>EBIT  Forward</t>
  </si>
  <si>
    <t>Net income Actual</t>
  </si>
  <si>
    <t>Net income Forward</t>
  </si>
  <si>
    <t>EV / EBITDA Actual</t>
  </si>
  <si>
    <t>EV / EBITDA Forward</t>
  </si>
  <si>
    <t>EV / EBIT Actual</t>
  </si>
  <si>
    <t>EV / EBIT Forward</t>
  </si>
  <si>
    <t>P/E  Actual</t>
  </si>
  <si>
    <t>P/E  Forward</t>
  </si>
  <si>
    <t>Median</t>
  </si>
  <si>
    <t>Method</t>
  </si>
  <si>
    <t>EV / EBITDA A</t>
  </si>
  <si>
    <t>EV / EBITDA F</t>
  </si>
  <si>
    <t>EV / EBIT A</t>
  </si>
  <si>
    <t>EV / EBIT F</t>
  </si>
  <si>
    <t>P/E  A</t>
  </si>
  <si>
    <t>P/E  F</t>
  </si>
  <si>
    <t>Multiple choice</t>
  </si>
  <si>
    <t>Moncler's corresponding metric</t>
  </si>
  <si>
    <t>EBITDA 2022 Actual</t>
  </si>
  <si>
    <t>EBITDA 2023 Forward</t>
  </si>
  <si>
    <t>EBIT 2022 Actual</t>
  </si>
  <si>
    <t>EBIT 2023 Forward</t>
  </si>
  <si>
    <t>Net income 2022 Actual</t>
  </si>
  <si>
    <t>Net income 2023 Forward</t>
  </si>
  <si>
    <t>Multiple</t>
  </si>
  <si>
    <t>Number of Shares (NOSH)</t>
  </si>
  <si>
    <t>(Surplus assets (inc. associates &amp; pensions))</t>
  </si>
  <si>
    <t>Implied Multiple - DCF asset side</t>
  </si>
  <si>
    <t>Alternative to mean or median: regression fundamental multiple</t>
  </si>
  <si>
    <t>Regression slope</t>
  </si>
  <si>
    <t>Regression intercept</t>
  </si>
  <si>
    <t>Fundamental multiple</t>
  </si>
  <si>
    <t xml:space="preserve">R^2 </t>
  </si>
  <si>
    <t>Valuation Summary</t>
  </si>
  <si>
    <t>EqV</t>
  </si>
  <si>
    <t>DCF asset</t>
  </si>
  <si>
    <t>min</t>
  </si>
  <si>
    <t>max</t>
  </si>
  <si>
    <t>diff</t>
  </si>
  <si>
    <t>Final Valuation</t>
  </si>
  <si>
    <t>Median EqV/Share (€)</t>
  </si>
  <si>
    <t>Weight</t>
  </si>
  <si>
    <t>EqV (€M)</t>
  </si>
  <si>
    <t>DCF</t>
  </si>
  <si>
    <t>EV/EBITDA F</t>
  </si>
  <si>
    <t>EV/EBIT F</t>
  </si>
  <si>
    <t>EV/EBITDA A</t>
  </si>
  <si>
    <t>EV/EBIT A</t>
  </si>
  <si>
    <t>Value/Share</t>
  </si>
  <si>
    <t>Value</t>
  </si>
  <si>
    <t>KPIs</t>
  </si>
  <si>
    <t>FY'22</t>
  </si>
  <si>
    <t>FY'21</t>
  </si>
  <si>
    <t>Sales Growth (YoY)</t>
  </si>
  <si>
    <t>D&amp;A/CapEx</t>
  </si>
  <si>
    <t xml:space="preserve">Days Payable </t>
  </si>
  <si>
    <t>Days Inventory</t>
  </si>
  <si>
    <t>Profitability Ratios</t>
  </si>
  <si>
    <t>ROE</t>
  </si>
  <si>
    <t>ROCE</t>
  </si>
  <si>
    <t>EBITDA Margin</t>
  </si>
  <si>
    <t>Net Income Margin</t>
  </si>
  <si>
    <t>Trading Multiples Summary</t>
  </si>
  <si>
    <t>Market cap</t>
  </si>
  <si>
    <t>EV/EBITDA</t>
  </si>
  <si>
    <t>EV/EBIT</t>
  </si>
  <si>
    <t>Figures in mln</t>
  </si>
  <si>
    <t>2022A</t>
  </si>
  <si>
    <t>2023F</t>
  </si>
  <si>
    <t>Moncler S.p.A.</t>
  </si>
  <si>
    <t>EV (average)</t>
  </si>
  <si>
    <t>EV (median)</t>
  </si>
  <si>
    <t>EqV (average)</t>
  </si>
  <si>
    <t>EqV (median)</t>
  </si>
  <si>
    <t>Revenue</t>
  </si>
  <si>
    <t>Luxury market size</t>
  </si>
  <si>
    <t>Moncler market share</t>
  </si>
  <si>
    <t>Factset multiples 2022</t>
  </si>
  <si>
    <t>Market. cap. (31/12/2022)</t>
  </si>
  <si>
    <t>EV (31/12/2022)</t>
  </si>
  <si>
    <t>Sales  Actual</t>
  </si>
  <si>
    <t>Sales  Forward</t>
  </si>
  <si>
    <t>EV / Sales Actual</t>
  </si>
  <si>
    <t>EV / Sales Forward</t>
  </si>
  <si>
    <t>ok</t>
  </si>
  <si>
    <t>TOD'S S.p.A.</t>
  </si>
  <si>
    <t>EURm</t>
  </si>
  <si>
    <t>very good</t>
  </si>
  <si>
    <t>Burberry Group plc</t>
  </si>
  <si>
    <t>Britain</t>
  </si>
  <si>
    <t>GBPm</t>
  </si>
  <si>
    <t>decent</t>
  </si>
  <si>
    <t>Prada S.p.A.</t>
  </si>
  <si>
    <t>HK$m</t>
  </si>
  <si>
    <t>Brunello Cucinelli S.p.A.</t>
  </si>
  <si>
    <t>Salvatore Ferragamo S.p.A.</t>
  </si>
  <si>
    <t>Canada Goose Holdings Inc.</t>
  </si>
  <si>
    <t>CADm</t>
  </si>
  <si>
    <t>good</t>
  </si>
  <si>
    <t>Ralph Lauren Corporation</t>
  </si>
  <si>
    <t>USA</t>
  </si>
  <si>
    <t>USDm</t>
  </si>
  <si>
    <t>Hermes</t>
  </si>
  <si>
    <t>France</t>
  </si>
  <si>
    <t>LVMH</t>
  </si>
  <si>
    <t>Kering</t>
  </si>
  <si>
    <t>Ferrari</t>
  </si>
  <si>
    <t>Diluted shares 2022</t>
  </si>
  <si>
    <t>Price 31/12/22</t>
  </si>
  <si>
    <t>EV / Sales A</t>
  </si>
  <si>
    <t>EV / Sales F</t>
  </si>
  <si>
    <t>Valuation summary</t>
  </si>
  <si>
    <t>(Equity value)</t>
  </si>
  <si>
    <t>Sales 2022 Actual</t>
  </si>
  <si>
    <t>Sales 2023 Forward</t>
  </si>
  <si>
    <t>Implied multiples - DCF asset side</t>
  </si>
  <si>
    <t>Implicit multiples - DCF equity side</t>
  </si>
  <si>
    <t>Implicit multiples - APV</t>
  </si>
  <si>
    <t>moncler</t>
  </si>
  <si>
    <t>Spirits industry players (2016)</t>
  </si>
  <si>
    <t xml:space="preserve">Sales </t>
  </si>
  <si>
    <t xml:space="preserve">EBITDA </t>
  </si>
  <si>
    <t>EBITDA 
margin</t>
  </si>
  <si>
    <t>Net income margin</t>
  </si>
  <si>
    <t>Backup for Lecture Slides</t>
  </si>
  <si>
    <t>Balance sheet (€m)</t>
  </si>
  <si>
    <t>FA</t>
  </si>
  <si>
    <t>E</t>
  </si>
  <si>
    <t>SA</t>
  </si>
  <si>
    <t>WC</t>
  </si>
  <si>
    <t>ND</t>
  </si>
  <si>
    <t>SA -</t>
  </si>
  <si>
    <t>WC -</t>
  </si>
  <si>
    <t>ND -</t>
  </si>
  <si>
    <t>Restated balance sheet (€m)</t>
  </si>
  <si>
    <t>Gross debt</t>
  </si>
  <si>
    <t>Income statement (€m)</t>
  </si>
  <si>
    <t>SGAs</t>
  </si>
  <si>
    <t>Extra details about IS (€m)</t>
  </si>
  <si>
    <t>D&amp;A included into OPEX</t>
  </si>
  <si>
    <t>COGS</t>
  </si>
  <si>
    <t>Restated IS (€m)</t>
  </si>
  <si>
    <t>Net interests</t>
  </si>
  <si>
    <t>Operating taxes (€m)</t>
  </si>
  <si>
    <t>Effective tax rate</t>
  </si>
  <si>
    <t>Operating taxes</t>
  </si>
  <si>
    <t>Tax shield</t>
  </si>
  <si>
    <t>NOPLAT</t>
  </si>
  <si>
    <t>Cash flows (€m)</t>
  </si>
  <si>
    <t>Change in equity</t>
  </si>
  <si>
    <t>Beginning cash from the BS</t>
  </si>
  <si>
    <t>Ending cash from the BS</t>
  </si>
  <si>
    <t>Change in the year</t>
  </si>
  <si>
    <t>Financial analysis</t>
  </si>
  <si>
    <t>Sales (€m)</t>
  </si>
  <si>
    <t>Sales growth</t>
  </si>
  <si>
    <t>FA and CAPEX (€m)</t>
  </si>
  <si>
    <t>CAPEX - D&amp;A &gt; 0</t>
  </si>
  <si>
    <t>Working capital (€m)</t>
  </si>
  <si>
    <t>VAT rate</t>
  </si>
  <si>
    <t>Days sales outstanding</t>
  </si>
  <si>
    <t>Days payables outstanding</t>
  </si>
  <si>
    <t>Days inventory</t>
  </si>
  <si>
    <t>Financing (€m)</t>
  </si>
  <si>
    <t>Gross debt (ST, LT, bonds)</t>
  </si>
  <si>
    <t>New debt / (repayments)</t>
  </si>
  <si>
    <t>Net interest income (cost)</t>
  </si>
  <si>
    <t>Leverage ND / E</t>
  </si>
  <si>
    <t>Leverage ND/(ND+E)</t>
  </si>
  <si>
    <t>Debt coverage</t>
  </si>
  <si>
    <t>Interest coverage (-)</t>
  </si>
  <si>
    <t>DSCR</t>
  </si>
  <si>
    <t>Dividends related to the year</t>
  </si>
  <si>
    <t>Payout ratio</t>
  </si>
  <si>
    <t>Liquidity (€m)</t>
  </si>
  <si>
    <t>Current assets</t>
  </si>
  <si>
    <t>Current assets - inventory</t>
  </si>
  <si>
    <t>Current liabilities</t>
  </si>
  <si>
    <t>Current ratio</t>
  </si>
  <si>
    <t>Acid test</t>
  </si>
  <si>
    <t>Profitability (€m)</t>
  </si>
  <si>
    <t>Equity</t>
  </si>
  <si>
    <t>(1-t)</t>
  </si>
  <si>
    <t>Asset turnover</t>
  </si>
  <si>
    <t>EBIT margin</t>
  </si>
  <si>
    <t>Effective interest rate (ROD)</t>
  </si>
  <si>
    <t>ROCE with decomposition</t>
  </si>
  <si>
    <t>ROE with leverage effect formula</t>
  </si>
  <si>
    <t>It does not reconcile because of an internal inconsistency: all of the items</t>
  </si>
  <si>
    <t xml:space="preserve">below EBIT which are not net interests have been forgotten, they are neither into </t>
  </si>
  <si>
    <t>NOPLAT nor into net interests.</t>
  </si>
  <si>
    <t>NOPLAT net of exceptionals</t>
  </si>
  <si>
    <t>Adjusted NOPLAT which includes exceptionals and associates P&amp;L</t>
  </si>
  <si>
    <t>ROCE net of exceptionals</t>
  </si>
  <si>
    <t>Adjusted ROCE</t>
  </si>
  <si>
    <t>ROE (leverage effect formula)</t>
  </si>
  <si>
    <t>Finally, the leverage effect ROE formula perfercly reconciles with ROE</t>
  </si>
  <si>
    <t>Average price</t>
  </si>
  <si>
    <t>NOSH (m) weighted average</t>
  </si>
  <si>
    <t>EPS</t>
  </si>
  <si>
    <t>DPS</t>
  </si>
  <si>
    <t>P/E</t>
  </si>
  <si>
    <t>Dividend yield</t>
  </si>
  <si>
    <t>Income statement</t>
  </si>
  <si>
    <t>Costs</t>
  </si>
  <si>
    <t>Interest expense</t>
  </si>
  <si>
    <t>Noncash WC</t>
  </si>
  <si>
    <t>Cash</t>
  </si>
  <si>
    <t>Assets</t>
  </si>
  <si>
    <t>Debt</t>
  </si>
  <si>
    <t>Liabilities</t>
  </si>
  <si>
    <t>Change in debt</t>
  </si>
  <si>
    <t>Beginning cash</t>
  </si>
  <si>
    <t>Ending cash</t>
  </si>
  <si>
    <t>(COGS)</t>
  </si>
  <si>
    <t>Interest espense</t>
  </si>
  <si>
    <t>Receivables</t>
  </si>
  <si>
    <t>Increase in receivables</t>
  </si>
  <si>
    <t>Net cash flows</t>
  </si>
  <si>
    <t>Campari's share price history</t>
  </si>
  <si>
    <t>Date</t>
  </si>
  <si>
    <t>Adj. price</t>
  </si>
  <si>
    <t>Volume</t>
  </si>
  <si>
    <t>null</t>
  </si>
  <si>
    <t>Years:</t>
  </si>
  <si>
    <t>D&amp;A from historical FA</t>
  </si>
  <si>
    <t>D&amp;A from CAPEX year +1</t>
  </si>
  <si>
    <t>D&amp;A from CAPEX year +2</t>
  </si>
  <si>
    <t>D&amp;A from CAPEX year +3</t>
  </si>
  <si>
    <t>= Total D&amp;A</t>
  </si>
  <si>
    <t>Cash &amp; Cash Equivalents</t>
  </si>
  <si>
    <t>Market peers</t>
  </si>
  <si>
    <t>Adj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</si>
</sst>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quot;$&quot;* #,##0.00_);_(&quot;$&quot;* \(#,##0.00\);_(&quot;$&quot;* &quot;-&quot;??_);_(@_)"/>
    <numFmt numFmtId="43" formatCode="_(* #,##0.00_);_(* \(#,##0.00\);_(* &quot;-&quot;??_);_(@_)"/>
    <numFmt numFmtId="164" formatCode="#,##0.0_)_);\(#,##0.0\)_);\-_)_);@_)_)"/>
    <numFmt numFmtId="165" formatCode="yyyy"/>
    <numFmt numFmtId="166" formatCode="0.0%_)_);\(0.0%\)_);\-_)_);@_)_)"/>
    <numFmt numFmtId="167" formatCode="#,##0_)_);\(#,##0\)_);\-_)_);@_)_)"/>
    <numFmt numFmtId="168" formatCode="#,##0.0_)_);\(#,##0.0\)_);@_)_)"/>
    <numFmt numFmtId="169" formatCode="0.0%_)_);\(0.0%\)_);@_)_)"/>
    <numFmt numFmtId="170" formatCode="0.0&quot;x&quot;_)_);\(0.0&quot;x&quot;\)_);\-_)_);@_)_)"/>
    <numFmt numFmtId="171" formatCode="#,##0.000_)_);\(#,##0.000\)_);@_)_)"/>
    <numFmt numFmtId="172" formatCode="#,##0.0"/>
    <numFmt numFmtId="173" formatCode="0.00%;\(0.00%\)"/>
    <numFmt numFmtId="174" formatCode="#,##0.000;\(#,##0.000\)"/>
    <numFmt numFmtId="175" formatCode="#,##0.0%_)_);\(#,##0.0%\)_);\-_)_);@_)_)"/>
    <numFmt numFmtId="176" formatCode="#,##0_)_);\(#,##0\)_);@_)_)"/>
    <numFmt numFmtId="177" formatCode="dd/mm/yyyy_)_)"/>
    <numFmt numFmtId="178" formatCode="#,##0.000_)_);\(#,##0.000\)_);\-_)_);@_)_)"/>
    <numFmt numFmtId="179" formatCode="#,##0.0&quot;x&quot;_)_);\(#,##0.0&quot;x&quot;\)_);\-_)_);@_)_)"/>
    <numFmt numFmtId="180" formatCode="yy_)_)"/>
    <numFmt numFmtId="181" formatCode="yyyy_)_)"/>
    <numFmt numFmtId="182" formatCode="#,##0%_)_);\(#,##0%\)_);\-_)_);@_)_)"/>
    <numFmt numFmtId="183" formatCode="#,##0.00_)_);\(#,##0.00\)_);\-_)_);@_)_)"/>
    <numFmt numFmtId="184" formatCode="###0_)_);\(###0\)_);\-_)_);@_)_)"/>
    <numFmt numFmtId="185" formatCode="#,##0.00%_)_);\(#,##0.00%\)_);\-_)_);@_)_)"/>
    <numFmt numFmtId="186" formatCode="#,##0.000000"/>
    <numFmt numFmtId="187" formatCode="0.0%"/>
    <numFmt numFmtId="188" formatCode="#,##0.00_)_);\(#,##0.00\)_);@_)_)"/>
    <numFmt numFmtId="189" formatCode="#,##0.00000_)_);\(#,##0.00000\)_);@_)_)"/>
    <numFmt numFmtId="190" formatCode="0.0"/>
    <numFmt numFmtId="191" formatCode="_([$$-409]* #,##0_);_([$$-409]* \(#,##0\);_([$$-409]* &quot;-&quot;_);_(@_)"/>
    <numFmt numFmtId="192" formatCode="_([$€-2]\ * #,##0_);_([$€-2]\ * \(#,##0\);_([$€-2]\ * &quot;-&quot;_);_(@_)"/>
    <numFmt numFmtId="193" formatCode="_([$€-2]\ * #,##0.00_);_([$€-2]\ * \(#,##0.00\);_([$€-2]\ * &quot;-&quot;??_);_(@_)"/>
    <numFmt numFmtId="194" formatCode="#,##0.0_);\(#,##0.0\)"/>
    <numFmt numFmtId="195" formatCode="_-[$£-809]* #,##0.00_-;\-[$£-809]* #,##0.00_-;_-[$£-809]* &quot;-&quot;??_-;_-@_-"/>
  </numFmts>
  <fonts count="57">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8"/>
      <color theme="0"/>
      <name val="Arial"/>
      <family val="2"/>
    </font>
    <font>
      <b/>
      <sz val="8"/>
      <color theme="1"/>
      <name val="Arial"/>
      <family val="2"/>
    </font>
    <font>
      <i/>
      <sz val="8"/>
      <color theme="1"/>
      <name val="Arial"/>
      <family val="2"/>
    </font>
    <font>
      <i/>
      <sz val="8"/>
      <color theme="0" tint="-0.499984740745262"/>
      <name val="Arial"/>
      <family val="2"/>
    </font>
    <font>
      <b/>
      <sz val="14"/>
      <color theme="5"/>
      <name val="Arial"/>
      <family val="2"/>
    </font>
    <font>
      <b/>
      <sz val="8"/>
      <name val="Arial"/>
      <family val="2"/>
    </font>
    <font>
      <sz val="10"/>
      <name val="Arial"/>
      <family val="2"/>
    </font>
    <font>
      <sz val="8"/>
      <color theme="0"/>
      <name val="Arial"/>
      <family val="2"/>
    </font>
    <font>
      <sz val="8"/>
      <color rgb="FF3333CC"/>
      <name val="Arial"/>
      <family val="2"/>
    </font>
    <font>
      <b/>
      <sz val="8"/>
      <color rgb="FF3333CC"/>
      <name val="Arial"/>
      <family val="2"/>
    </font>
    <font>
      <sz val="8"/>
      <name val="Arial"/>
      <family val="2"/>
    </font>
    <font>
      <b/>
      <sz val="8"/>
      <color rgb="FFFF0000"/>
      <name val="Arial"/>
      <family val="2"/>
    </font>
    <font>
      <b/>
      <u/>
      <sz val="8"/>
      <color theme="1"/>
      <name val="Arial"/>
      <family val="2"/>
    </font>
    <font>
      <b/>
      <sz val="18"/>
      <color rgb="FF3333CC"/>
      <name val="Arial"/>
      <family val="2"/>
    </font>
    <font>
      <sz val="18"/>
      <color theme="1"/>
      <name val="Arial"/>
      <family val="2"/>
    </font>
    <font>
      <b/>
      <sz val="22"/>
      <name val="Arial"/>
      <family val="2"/>
    </font>
    <font>
      <i/>
      <sz val="8"/>
      <color theme="0" tint="-0.249977111117893"/>
      <name val="Arial"/>
      <family val="2"/>
    </font>
    <font>
      <sz val="8"/>
      <color rgb="FFFF0000"/>
      <name val="Arial"/>
      <family val="2"/>
    </font>
    <font>
      <b/>
      <sz val="8"/>
      <color rgb="FF002776"/>
      <name val="Arial"/>
      <family val="2"/>
    </font>
    <font>
      <sz val="8"/>
      <color theme="1"/>
      <name val="Arial"/>
      <family val="2"/>
    </font>
    <font>
      <sz val="9"/>
      <color indexed="81"/>
      <name val="Tahoma"/>
      <family val="2"/>
    </font>
    <font>
      <b/>
      <sz val="9"/>
      <color indexed="81"/>
      <name val="Tahoma"/>
      <family val="2"/>
    </font>
    <font>
      <b/>
      <sz val="9"/>
      <color theme="1"/>
      <name val="Arial"/>
      <family val="2"/>
    </font>
    <font>
      <b/>
      <sz val="10"/>
      <color rgb="FF002060"/>
      <name val="Arial"/>
      <family val="2"/>
    </font>
    <font>
      <sz val="11"/>
      <color theme="1"/>
      <name val="Trebuchet MS"/>
      <family val="2"/>
    </font>
    <font>
      <sz val="10"/>
      <color indexed="8"/>
      <name val="MS Sans Serif"/>
      <family val="2"/>
    </font>
    <font>
      <sz val="7"/>
      <color indexed="16"/>
      <name val="Arial"/>
      <family val="2"/>
    </font>
    <font>
      <sz val="7"/>
      <color theme="0" tint="-0.499984740745262"/>
      <name val="Arial"/>
      <family val="2"/>
    </font>
    <font>
      <b/>
      <i/>
      <u/>
      <sz val="8"/>
      <color theme="1"/>
      <name val="Arial"/>
      <family val="2"/>
    </font>
    <font>
      <sz val="7"/>
      <color indexed="81"/>
      <name val="Tahoma"/>
      <family val="2"/>
    </font>
    <font>
      <sz val="12"/>
      <color theme="1"/>
      <name val="Calibri"/>
      <family val="2"/>
      <scheme val="minor"/>
    </font>
    <font>
      <sz val="8"/>
      <color rgb="FF000000"/>
      <name val="Arial"/>
      <family val="2"/>
    </font>
    <font>
      <i/>
      <sz val="8"/>
      <color rgb="FFFF0000"/>
      <name val="Arial"/>
      <family val="2"/>
    </font>
    <font>
      <b/>
      <sz val="8"/>
      <color rgb="FF000000"/>
      <name val="Arial"/>
      <family val="2"/>
    </font>
    <font>
      <sz val="9"/>
      <color rgb="FF000000"/>
      <name val="Tahoma"/>
      <family val="2"/>
    </font>
    <font>
      <b/>
      <sz val="14"/>
      <color theme="0"/>
      <name val="Arial"/>
      <family val="2"/>
    </font>
    <font>
      <b/>
      <sz val="9"/>
      <color theme="0"/>
      <name val="Arial"/>
      <family val="2"/>
    </font>
    <font>
      <sz val="7"/>
      <color rgb="FF000000"/>
      <name val="Tahoma"/>
      <family val="2"/>
    </font>
    <font>
      <b/>
      <sz val="8"/>
      <color rgb="FFFFFFFF"/>
      <name val="Arial"/>
      <family val="2"/>
    </font>
    <font>
      <sz val="8"/>
      <color rgb="FFFFFFFF"/>
      <name val="Arial"/>
      <family val="2"/>
    </font>
    <font>
      <b/>
      <sz val="14"/>
      <color theme="2"/>
      <name val="Arial"/>
      <family val="2"/>
    </font>
    <font>
      <sz val="8"/>
      <color rgb="FFC00000"/>
      <name val="Arial"/>
      <family val="2"/>
    </font>
    <font>
      <b/>
      <sz val="11"/>
      <name val="Calibri"/>
      <family val="2"/>
      <scheme val="minor"/>
    </font>
    <font>
      <b/>
      <sz val="9"/>
      <color theme="1"/>
      <name val="Book Antiqua"/>
      <family val="1"/>
    </font>
    <font>
      <sz val="9"/>
      <color theme="1"/>
      <name val="Book Antiqua"/>
      <family val="1"/>
    </font>
    <font>
      <sz val="9"/>
      <color theme="1"/>
      <name val="Arial"/>
      <family val="2"/>
    </font>
    <font>
      <b/>
      <sz val="7"/>
      <color rgb="FF000000"/>
      <name val="Tahoma"/>
      <family val="2"/>
    </font>
    <font>
      <b/>
      <sz val="22"/>
      <color rgb="FFCC9B00"/>
      <name val="Arial"/>
      <family val="2"/>
    </font>
    <font>
      <b/>
      <i/>
      <sz val="8"/>
      <color theme="1"/>
      <name val="Arial"/>
      <family val="2"/>
    </font>
    <font>
      <b/>
      <sz val="10"/>
      <color theme="1"/>
      <name val="Arial"/>
      <family val="2"/>
    </font>
    <font>
      <b/>
      <sz val="18"/>
      <color rgb="FFCC9B00"/>
      <name val="Arial"/>
      <family val="2"/>
    </font>
    <font>
      <sz val="18"/>
      <color rgb="FFCC9B00"/>
      <name val="Arial"/>
      <family val="2"/>
    </font>
  </fonts>
  <fills count="22">
    <fill>
      <patternFill patternType="none"/>
    </fill>
    <fill>
      <patternFill patternType="gray125"/>
    </fill>
    <fill>
      <patternFill patternType="solid">
        <fgColor rgb="FF002776"/>
        <bgColor indexed="64"/>
      </patternFill>
    </fill>
    <fill>
      <patternFill patternType="solid">
        <fgColor theme="8" tint="0.79998168889431442"/>
        <bgColor indexed="64"/>
      </patternFill>
    </fill>
    <fill>
      <patternFill patternType="solid">
        <fgColor theme="4"/>
        <bgColor indexed="64"/>
      </patternFill>
    </fill>
    <fill>
      <patternFill patternType="solid">
        <fgColor theme="0" tint="-0.499984740745262"/>
        <bgColor indexed="64"/>
      </patternFill>
    </fill>
    <fill>
      <patternFill patternType="solid">
        <fgColor rgb="FF3333CC"/>
        <bgColor indexed="64"/>
      </patternFill>
    </fill>
    <fill>
      <patternFill patternType="solid">
        <fgColor rgb="FFFEF4CE"/>
        <bgColor indexed="64"/>
      </patternFill>
    </fill>
    <fill>
      <patternFill patternType="solid">
        <fgColor theme="0" tint="-4.9989318521683403E-2"/>
        <bgColor indexed="64"/>
      </patternFill>
    </fill>
    <fill>
      <patternFill patternType="darkVertical">
        <fgColor theme="0" tint="-0.24994659260841701"/>
        <bgColor rgb="FF3333CC"/>
      </patternFill>
    </fill>
    <fill>
      <patternFill patternType="solid">
        <fgColor theme="0" tint="-0.14999847407452621"/>
        <bgColor indexed="64"/>
      </patternFill>
    </fill>
    <fill>
      <patternFill patternType="solid">
        <fgColor rgb="FFC00000"/>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rgb="FFCC9B00"/>
        <bgColor indexed="64"/>
      </patternFill>
    </fill>
    <fill>
      <patternFill patternType="solid">
        <fgColor rgb="FFCC9B00"/>
        <bgColor rgb="FF000000"/>
      </patternFill>
    </fill>
    <fill>
      <patternFill patternType="solid">
        <fgColor theme="0"/>
        <bgColor indexed="64"/>
      </patternFill>
    </fill>
  </fills>
  <borders count="44">
    <border>
      <left/>
      <right/>
      <top/>
      <bottom/>
      <diagonal/>
    </border>
    <border>
      <left/>
      <right/>
      <top style="thin">
        <color indexed="64"/>
      </top>
      <bottom/>
      <diagonal/>
    </border>
    <border>
      <left/>
      <right/>
      <top/>
      <bottom style="thin">
        <color indexed="64"/>
      </bottom>
      <diagonal/>
    </border>
    <border>
      <left style="thick">
        <color theme="0"/>
      </left>
      <right/>
      <top/>
      <bottom/>
      <diagonal/>
    </border>
    <border>
      <left style="thick">
        <color theme="0"/>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ck">
        <color theme="2"/>
      </right>
      <top/>
      <bottom/>
      <diagonal/>
    </border>
    <border>
      <left style="thick">
        <color theme="0"/>
      </left>
      <right style="thick">
        <color theme="0"/>
      </right>
      <top style="thick">
        <color theme="0"/>
      </top>
      <bottom style="thick">
        <color theme="0"/>
      </bottom>
      <diagonal/>
    </border>
    <border>
      <left style="thick">
        <color theme="0"/>
      </left>
      <right/>
      <top style="thick">
        <color theme="0"/>
      </top>
      <bottom/>
      <diagonal/>
    </border>
    <border>
      <left/>
      <right/>
      <top style="thick">
        <color theme="0"/>
      </top>
      <bottom/>
      <diagonal/>
    </border>
    <border>
      <left/>
      <right style="thin">
        <color theme="1"/>
      </right>
      <top style="thick">
        <color theme="0"/>
      </top>
      <bottom/>
      <diagonal/>
    </border>
    <border>
      <left/>
      <right style="thin">
        <color theme="1"/>
      </right>
      <top/>
      <bottom/>
      <diagonal/>
    </border>
    <border>
      <left style="thick">
        <color theme="0"/>
      </left>
      <right/>
      <top/>
      <bottom style="thin">
        <color theme="1"/>
      </bottom>
      <diagonal/>
    </border>
    <border>
      <left/>
      <right/>
      <top/>
      <bottom style="thin">
        <color theme="1"/>
      </bottom>
      <diagonal/>
    </border>
    <border>
      <left/>
      <right style="thin">
        <color theme="1"/>
      </right>
      <top/>
      <bottom style="thin">
        <color theme="1"/>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diagonal/>
    </border>
    <border>
      <left/>
      <right/>
      <top style="thin">
        <color theme="0" tint="-0.499984740745262"/>
      </top>
      <bottom style="thin">
        <color theme="0" tint="-0.499984740745262"/>
      </bottom>
      <diagonal/>
    </border>
    <border>
      <left/>
      <right/>
      <top style="thin">
        <color rgb="FF000000"/>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theme="0"/>
      </bottom>
      <diagonal/>
    </border>
  </borders>
  <cellStyleXfs count="18">
    <xf numFmtId="0" fontId="0" fillId="0" borderId="0"/>
    <xf numFmtId="0" fontId="11" fillId="0" borderId="0"/>
    <xf numFmtId="0" fontId="11" fillId="0" borderId="0"/>
    <xf numFmtId="9" fontId="24" fillId="0" borderId="0" applyFont="0" applyFill="0" applyBorder="0" applyAlignment="0" applyProtection="0"/>
    <xf numFmtId="0" fontId="4" fillId="0" borderId="0"/>
    <xf numFmtId="0" fontId="29" fillId="0" borderId="0"/>
    <xf numFmtId="0" fontId="30" fillId="0" borderId="0" applyNumberFormat="0" applyFont="0" applyFill="0" applyBorder="0" applyAlignment="0" applyProtection="0"/>
    <xf numFmtId="9" fontId="11" fillId="0" borderId="0" applyFont="0" applyFill="0" applyBorder="0" applyAlignment="0" applyProtection="0"/>
    <xf numFmtId="0" fontId="31" fillId="0" borderId="0" applyNumberFormat="0">
      <alignment horizontal="left"/>
    </xf>
    <xf numFmtId="43" fontId="11" fillId="0" borderId="0" applyFont="0" applyFill="0" applyBorder="0" applyAlignment="0" applyProtection="0"/>
    <xf numFmtId="0" fontId="3" fillId="0" borderId="0"/>
    <xf numFmtId="0" fontId="35" fillId="0" borderId="0"/>
    <xf numFmtId="44" fontId="24"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1" fillId="0" borderId="0"/>
    <xf numFmtId="9" fontId="1" fillId="0" borderId="0" applyFont="0" applyFill="0" applyBorder="0" applyAlignment="0" applyProtection="0"/>
  </cellStyleXfs>
  <cellXfs count="530">
    <xf numFmtId="0" fontId="0" fillId="0" borderId="0" xfId="0"/>
    <xf numFmtId="0" fontId="5" fillId="2" borderId="0" xfId="0" applyFont="1" applyFill="1" applyAlignment="1">
      <alignment horizontal="left" vertical="center" indent="1"/>
    </xf>
    <xf numFmtId="0" fontId="0" fillId="0" borderId="0" xfId="0" applyAlignment="1">
      <alignment horizontal="left" indent="1"/>
    </xf>
    <xf numFmtId="164" fontId="0" fillId="0" borderId="0" xfId="0" applyNumberFormat="1"/>
    <xf numFmtId="0" fontId="6" fillId="0" borderId="1" xfId="0" applyFont="1" applyBorder="1" applyAlignment="1">
      <alignment horizontal="left" indent="1"/>
    </xf>
    <xf numFmtId="0" fontId="9" fillId="0" borderId="0" xfId="0" applyFont="1"/>
    <xf numFmtId="0" fontId="0" fillId="0" borderId="0" xfId="0" applyAlignment="1">
      <alignment vertical="center"/>
    </xf>
    <xf numFmtId="0" fontId="9" fillId="0" borderId="0" xfId="0" applyFont="1" applyAlignment="1">
      <alignment horizontal="left" vertical="center" indent="1"/>
    </xf>
    <xf numFmtId="0" fontId="0" fillId="0" borderId="0" xfId="0" applyAlignment="1">
      <alignment horizontal="left" vertical="center" indent="1"/>
    </xf>
    <xf numFmtId="0" fontId="10" fillId="3" borderId="0" xfId="0" applyFont="1" applyFill="1" applyAlignment="1">
      <alignment horizontal="left" indent="1"/>
    </xf>
    <xf numFmtId="0" fontId="6" fillId="0" borderId="0" xfId="0" applyFont="1" applyAlignment="1">
      <alignment horizontal="left" indent="1"/>
    </xf>
    <xf numFmtId="0" fontId="6" fillId="0" borderId="0" xfId="0" applyFont="1" applyAlignment="1">
      <alignment horizontal="left" vertical="center" indent="1"/>
    </xf>
    <xf numFmtId="0" fontId="6" fillId="0" borderId="1" xfId="0" applyFont="1" applyBorder="1" applyAlignment="1">
      <alignment horizontal="left" vertical="center" indent="1"/>
    </xf>
    <xf numFmtId="0" fontId="7" fillId="0" borderId="0" xfId="0" applyFont="1" applyAlignment="1">
      <alignment horizontal="left" vertical="center" indent="1"/>
    </xf>
    <xf numFmtId="0" fontId="6" fillId="3" borderId="0" xfId="0" applyFont="1" applyFill="1" applyAlignment="1">
      <alignment horizontal="left" vertical="center" indent="1"/>
    </xf>
    <xf numFmtId="167" fontId="6" fillId="3" borderId="0" xfId="0" applyNumberFormat="1" applyFont="1" applyFill="1" applyAlignment="1">
      <alignment vertical="center"/>
    </xf>
    <xf numFmtId="49" fontId="0" fillId="0" borderId="0" xfId="0" applyNumberFormat="1"/>
    <xf numFmtId="167" fontId="0" fillId="0" borderId="0" xfId="0" applyNumberFormat="1" applyAlignment="1">
      <alignment vertical="center"/>
    </xf>
    <xf numFmtId="167" fontId="6" fillId="0" borderId="1" xfId="0" applyNumberFormat="1" applyFont="1" applyBorder="1" applyAlignment="1">
      <alignment vertical="center"/>
    </xf>
    <xf numFmtId="164" fontId="0" fillId="0" borderId="0" xfId="0" applyNumberFormat="1" applyAlignment="1">
      <alignment vertical="center"/>
    </xf>
    <xf numFmtId="0" fontId="6" fillId="0" borderId="2" xfId="0" applyFont="1" applyBorder="1" applyAlignment="1">
      <alignment horizontal="left" vertical="center" indent="1"/>
    </xf>
    <xf numFmtId="0" fontId="6" fillId="0" borderId="2" xfId="0" applyFont="1" applyBorder="1" applyAlignment="1">
      <alignment horizontal="centerContinuous" vertical="center"/>
    </xf>
    <xf numFmtId="0" fontId="0" fillId="0" borderId="2" xfId="0" applyBorder="1" applyAlignment="1">
      <alignment horizontal="centerContinuous" vertical="center"/>
    </xf>
    <xf numFmtId="0" fontId="6" fillId="0" borderId="4" xfId="0" applyFont="1" applyBorder="1" applyAlignment="1">
      <alignment horizontal="centerContinuous" vertical="center"/>
    </xf>
    <xf numFmtId="0" fontId="0" fillId="0" borderId="3" xfId="0" applyBorder="1"/>
    <xf numFmtId="0" fontId="0" fillId="0" borderId="3" xfId="0" applyBorder="1" applyAlignment="1">
      <alignment vertical="center"/>
    </xf>
    <xf numFmtId="0" fontId="0" fillId="0" borderId="0" xfId="0" quotePrefix="1" applyAlignment="1">
      <alignment horizontal="left" vertical="center" indent="1"/>
    </xf>
    <xf numFmtId="164" fontId="8" fillId="0" borderId="0" xfId="0" applyNumberFormat="1" applyFont="1" applyAlignment="1">
      <alignment horizontal="left" indent="1"/>
    </xf>
    <xf numFmtId="168" fontId="6" fillId="0" borderId="1" xfId="0" applyNumberFormat="1" applyFont="1" applyBorder="1"/>
    <xf numFmtId="168" fontId="0" fillId="0" borderId="0" xfId="0" applyNumberFormat="1"/>
    <xf numFmtId="168" fontId="15" fillId="0" borderId="0" xfId="0" applyNumberFormat="1" applyFont="1" applyAlignment="1">
      <alignment horizontal="right"/>
    </xf>
    <xf numFmtId="168" fontId="15" fillId="0" borderId="0" xfId="0" applyNumberFormat="1" applyFont="1"/>
    <xf numFmtId="168" fontId="0" fillId="0" borderId="0" xfId="0" applyNumberFormat="1" applyAlignment="1">
      <alignment vertical="center"/>
    </xf>
    <xf numFmtId="168" fontId="6" fillId="0" borderId="1" xfId="0" applyNumberFormat="1" applyFont="1" applyBorder="1" applyAlignment="1">
      <alignment vertical="center"/>
    </xf>
    <xf numFmtId="168" fontId="6" fillId="0" borderId="0" xfId="0" applyNumberFormat="1" applyFont="1" applyAlignment="1">
      <alignment vertical="center"/>
    </xf>
    <xf numFmtId="169" fontId="7" fillId="0" borderId="0" xfId="0" applyNumberFormat="1" applyFont="1" applyAlignment="1">
      <alignment vertical="center"/>
    </xf>
    <xf numFmtId="0" fontId="6" fillId="0" borderId="1" xfId="0" applyFont="1" applyBorder="1"/>
    <xf numFmtId="0" fontId="17" fillId="0" borderId="0" xfId="0" applyFont="1" applyAlignment="1">
      <alignment horizontal="left" vertical="center" indent="1"/>
    </xf>
    <xf numFmtId="0" fontId="0" fillId="0" borderId="1" xfId="0" applyBorder="1" applyAlignment="1">
      <alignment horizontal="left" vertical="center" indent="1"/>
    </xf>
    <xf numFmtId="168" fontId="0" fillId="0" borderId="1" xfId="0" applyNumberFormat="1" applyBorder="1" applyAlignment="1">
      <alignment vertical="center"/>
    </xf>
    <xf numFmtId="171" fontId="0" fillId="0" borderId="0" xfId="0" applyNumberFormat="1" applyAlignment="1">
      <alignment vertical="center"/>
    </xf>
    <xf numFmtId="167" fontId="0" fillId="0" borderId="0" xfId="0" applyNumberFormat="1"/>
    <xf numFmtId="167" fontId="6" fillId="0" borderId="0" xfId="0" applyNumberFormat="1" applyFont="1" applyAlignment="1">
      <alignment vertical="center"/>
    </xf>
    <xf numFmtId="0" fontId="0" fillId="0" borderId="7" xfId="0" applyBorder="1" applyAlignment="1">
      <alignment horizontal="left" vertical="center" indent="1"/>
    </xf>
    <xf numFmtId="0" fontId="0" fillId="0" borderId="5" xfId="0" applyBorder="1" applyAlignment="1">
      <alignment horizontal="left" vertical="center" indent="1"/>
    </xf>
    <xf numFmtId="0" fontId="0" fillId="0" borderId="1" xfId="0" applyBorder="1"/>
    <xf numFmtId="0" fontId="0" fillId="0" borderId="9" xfId="0" applyBorder="1" applyAlignment="1">
      <alignment horizontal="left" vertical="center" indent="1"/>
    </xf>
    <xf numFmtId="0" fontId="0" fillId="0" borderId="2" xfId="0" applyBorder="1"/>
    <xf numFmtId="0" fontId="0" fillId="6" borderId="0" xfId="0" applyFill="1"/>
    <xf numFmtId="0" fontId="18" fillId="0" borderId="0" xfId="0" quotePrefix="1" applyFont="1"/>
    <xf numFmtId="0" fontId="19" fillId="0" borderId="0" xfId="0" applyFont="1"/>
    <xf numFmtId="0" fontId="20" fillId="0" borderId="0" xfId="0" quotePrefix="1" applyFont="1"/>
    <xf numFmtId="164" fontId="13" fillId="0" borderId="0" xfId="0" applyNumberFormat="1" applyFont="1"/>
    <xf numFmtId="170" fontId="6" fillId="0" borderId="1" xfId="0" applyNumberFormat="1" applyFont="1" applyBorder="1"/>
    <xf numFmtId="170" fontId="0" fillId="0" borderId="0" xfId="0" applyNumberFormat="1"/>
    <xf numFmtId="168" fontId="16" fillId="0" borderId="0" xfId="0" applyNumberFormat="1" applyFont="1" applyAlignment="1">
      <alignment horizontal="right" vertical="center"/>
    </xf>
    <xf numFmtId="167" fontId="7" fillId="0" borderId="0" xfId="0" applyNumberFormat="1" applyFont="1" applyAlignment="1">
      <alignment vertical="center"/>
    </xf>
    <xf numFmtId="168" fontId="7" fillId="0" borderId="0" xfId="0" applyNumberFormat="1" applyFont="1" applyAlignment="1">
      <alignment vertical="center"/>
    </xf>
    <xf numFmtId="168" fontId="12" fillId="0" borderId="0" xfId="0" applyNumberFormat="1" applyFont="1" applyAlignment="1">
      <alignment vertical="center"/>
    </xf>
    <xf numFmtId="164" fontId="0" fillId="0" borderId="13" xfId="0" applyNumberFormat="1" applyBorder="1" applyAlignment="1">
      <alignment vertical="center"/>
    </xf>
    <xf numFmtId="164" fontId="0" fillId="0" borderId="14" xfId="0" applyNumberFormat="1" applyBorder="1" applyAlignment="1">
      <alignment vertical="center"/>
    </xf>
    <xf numFmtId="164" fontId="0" fillId="0" borderId="15" xfId="0" applyNumberFormat="1" applyBorder="1" applyAlignment="1">
      <alignment vertical="center"/>
    </xf>
    <xf numFmtId="164" fontId="0" fillId="0" borderId="3" xfId="0" applyNumberFormat="1" applyBorder="1" applyAlignment="1">
      <alignment vertical="center"/>
    </xf>
    <xf numFmtId="164" fontId="15" fillId="0" borderId="16" xfId="0" applyNumberFormat="1" applyFont="1" applyBorder="1" applyAlignment="1">
      <alignment vertical="center"/>
    </xf>
    <xf numFmtId="170" fontId="6" fillId="0" borderId="0" xfId="0" applyNumberFormat="1" applyFont="1"/>
    <xf numFmtId="168" fontId="15" fillId="0" borderId="0" xfId="0" applyNumberFormat="1" applyFont="1" applyAlignment="1">
      <alignment vertical="center"/>
    </xf>
    <xf numFmtId="175" fontId="0" fillId="0" borderId="0" xfId="0" applyNumberFormat="1"/>
    <xf numFmtId="176" fontId="0" fillId="0" borderId="0" xfId="0" applyNumberFormat="1" applyAlignment="1">
      <alignment vertical="center"/>
    </xf>
    <xf numFmtId="168" fontId="22" fillId="0" borderId="0" xfId="0" applyNumberFormat="1" applyFont="1" applyAlignment="1">
      <alignment vertical="center"/>
    </xf>
    <xf numFmtId="166" fontId="5" fillId="5" borderId="12" xfId="0" applyNumberFormat="1" applyFont="1" applyFill="1" applyBorder="1" applyAlignment="1">
      <alignment vertical="center"/>
    </xf>
    <xf numFmtId="164" fontId="7" fillId="0" borderId="0" xfId="0" applyNumberFormat="1" applyFont="1" applyAlignment="1">
      <alignment horizontal="right" vertical="center"/>
    </xf>
    <xf numFmtId="164" fontId="0" fillId="0" borderId="0" xfId="0" applyNumberFormat="1" applyAlignment="1">
      <alignment horizontal="right"/>
    </xf>
    <xf numFmtId="177" fontId="15" fillId="0" borderId="0" xfId="0" applyNumberFormat="1" applyFont="1" applyAlignment="1">
      <alignment horizontal="right"/>
    </xf>
    <xf numFmtId="0" fontId="0" fillId="0" borderId="5" xfId="0" applyBorder="1" applyAlignment="1">
      <alignment horizontal="left" indent="1"/>
    </xf>
    <xf numFmtId="177" fontId="15" fillId="0" borderId="6" xfId="0" applyNumberFormat="1" applyFont="1" applyBorder="1" applyAlignment="1">
      <alignment horizontal="right"/>
    </xf>
    <xf numFmtId="0" fontId="0" fillId="0" borderId="7" xfId="0" applyBorder="1" applyAlignment="1">
      <alignment horizontal="left" indent="1"/>
    </xf>
    <xf numFmtId="0" fontId="0" fillId="0" borderId="9" xfId="0" applyBorder="1" applyAlignment="1">
      <alignment horizontal="left" indent="1"/>
    </xf>
    <xf numFmtId="179" fontId="15" fillId="0" borderId="0" xfId="0" applyNumberFormat="1" applyFont="1"/>
    <xf numFmtId="0" fontId="0" fillId="0" borderId="2" xfId="0" applyBorder="1" applyAlignment="1">
      <alignment horizontal="left" indent="1"/>
    </xf>
    <xf numFmtId="164" fontId="0" fillId="0" borderId="2" xfId="0" applyNumberFormat="1" applyBorder="1" applyAlignment="1">
      <alignment horizontal="right" wrapText="1" indent="1"/>
    </xf>
    <xf numFmtId="165" fontId="5" fillId="4" borderId="0" xfId="0" applyNumberFormat="1" applyFont="1" applyFill="1" applyAlignment="1">
      <alignment horizontal="right" vertical="center" indent="1"/>
    </xf>
    <xf numFmtId="164" fontId="0" fillId="0" borderId="0" xfId="0" applyNumberFormat="1" applyAlignment="1">
      <alignment horizontal="left" indent="1"/>
    </xf>
    <xf numFmtId="164" fontId="6" fillId="0" borderId="1" xfId="0" applyNumberFormat="1" applyFont="1" applyBorder="1" applyAlignment="1">
      <alignment horizontal="left" indent="1"/>
    </xf>
    <xf numFmtId="164" fontId="6" fillId="0" borderId="0" xfId="0" applyNumberFormat="1" applyFont="1" applyAlignment="1">
      <alignment horizontal="left" indent="1"/>
    </xf>
    <xf numFmtId="0" fontId="0" fillId="0" borderId="1" xfId="0" applyBorder="1" applyAlignment="1">
      <alignment horizontal="left" indent="1"/>
    </xf>
    <xf numFmtId="168" fontId="15" fillId="0" borderId="1" xfId="0" applyNumberFormat="1" applyFont="1" applyBorder="1"/>
    <xf numFmtId="175" fontId="0" fillId="0" borderId="0" xfId="0" applyNumberFormat="1" applyAlignment="1">
      <alignment vertical="center"/>
    </xf>
    <xf numFmtId="166" fontId="0" fillId="0" borderId="0" xfId="0" applyNumberFormat="1" applyAlignment="1">
      <alignment vertical="center"/>
    </xf>
    <xf numFmtId="0" fontId="0" fillId="0" borderId="5" xfId="0" applyBorder="1" applyAlignment="1">
      <alignment vertical="center"/>
    </xf>
    <xf numFmtId="164" fontId="6" fillId="0" borderId="1" xfId="0" applyNumberFormat="1" applyFont="1" applyBorder="1" applyAlignment="1">
      <alignment horizontal="right" vertical="center"/>
    </xf>
    <xf numFmtId="164" fontId="6" fillId="0" borderId="6" xfId="0" applyNumberFormat="1" applyFont="1" applyBorder="1" applyAlignment="1">
      <alignment horizontal="right" vertical="center"/>
    </xf>
    <xf numFmtId="167" fontId="13" fillId="0" borderId="0" xfId="0" applyNumberFormat="1" applyFont="1" applyAlignment="1">
      <alignment vertical="center"/>
    </xf>
    <xf numFmtId="166" fontId="0" fillId="0" borderId="8" xfId="0" applyNumberFormat="1" applyBorder="1" applyAlignment="1">
      <alignment vertical="center"/>
    </xf>
    <xf numFmtId="167" fontId="13" fillId="0" borderId="2" xfId="0" applyNumberFormat="1" applyFont="1" applyBorder="1" applyAlignment="1">
      <alignment vertical="center"/>
    </xf>
    <xf numFmtId="166" fontId="0" fillId="0" borderId="10" xfId="0" applyNumberFormat="1" applyBorder="1" applyAlignment="1">
      <alignment vertical="center"/>
    </xf>
    <xf numFmtId="9" fontId="0" fillId="0" borderId="0" xfId="0" applyNumberFormat="1" applyAlignment="1">
      <alignment vertical="center"/>
    </xf>
    <xf numFmtId="164" fontId="6" fillId="0" borderId="8" xfId="0" applyNumberFormat="1" applyFont="1" applyBorder="1" applyAlignment="1">
      <alignment horizontal="right" vertical="center"/>
    </xf>
    <xf numFmtId="180" fontId="0" fillId="0" borderId="9" xfId="0" applyNumberFormat="1" applyBorder="1" applyAlignment="1">
      <alignment horizontal="right" vertical="center" indent="1"/>
    </xf>
    <xf numFmtId="180" fontId="0" fillId="0" borderId="7" xfId="0" applyNumberFormat="1" applyBorder="1" applyAlignment="1">
      <alignment horizontal="right" vertical="center" indent="1"/>
    </xf>
    <xf numFmtId="166" fontId="0" fillId="0" borderId="0" xfId="0" applyNumberFormat="1" applyAlignment="1">
      <alignment horizontal="left" vertical="center" indent="5"/>
    </xf>
    <xf numFmtId="0" fontId="0" fillId="0" borderId="0" xfId="0" applyAlignment="1">
      <alignment horizontal="left" vertical="center"/>
    </xf>
    <xf numFmtId="0" fontId="14" fillId="0" borderId="0" xfId="0" applyFont="1" applyAlignment="1">
      <alignment horizontal="right" vertical="center" indent="1"/>
    </xf>
    <xf numFmtId="170" fontId="6" fillId="3" borderId="0" xfId="0" applyNumberFormat="1" applyFont="1" applyFill="1" applyAlignment="1">
      <alignment vertical="center"/>
    </xf>
    <xf numFmtId="0" fontId="6" fillId="3" borderId="0" xfId="0" applyFont="1" applyFill="1" applyAlignment="1">
      <alignment vertical="center"/>
    </xf>
    <xf numFmtId="175" fontId="0" fillId="0" borderId="0" xfId="3" applyNumberFormat="1" applyFont="1" applyAlignment="1">
      <alignment vertical="center"/>
    </xf>
    <xf numFmtId="0" fontId="0" fillId="0" borderId="0" xfId="0" applyAlignment="1">
      <alignment horizontal="left" vertical="center" indent="2"/>
    </xf>
    <xf numFmtId="175" fontId="6" fillId="3" borderId="0" xfId="0" applyNumberFormat="1" applyFont="1" applyFill="1" applyAlignment="1">
      <alignment vertical="center"/>
    </xf>
    <xf numFmtId="167" fontId="6" fillId="0" borderId="1" xfId="0" applyNumberFormat="1" applyFont="1" applyBorder="1"/>
    <xf numFmtId="167" fontId="10" fillId="3" borderId="0" xfId="0" applyNumberFormat="1" applyFont="1" applyFill="1"/>
    <xf numFmtId="167" fontId="6" fillId="0" borderId="0" xfId="0" applyNumberFormat="1" applyFont="1"/>
    <xf numFmtId="176" fontId="6" fillId="0" borderId="0" xfId="0" applyNumberFormat="1" applyFont="1" applyAlignment="1">
      <alignment vertical="center"/>
    </xf>
    <xf numFmtId="176" fontId="0" fillId="0" borderId="0" xfId="0" applyNumberFormat="1"/>
    <xf numFmtId="176" fontId="6" fillId="0" borderId="1" xfId="0" applyNumberFormat="1" applyFont="1" applyBorder="1" applyAlignment="1">
      <alignment vertical="center"/>
    </xf>
    <xf numFmtId="176" fontId="6" fillId="3" borderId="0" xfId="0" applyNumberFormat="1" applyFont="1" applyFill="1" applyAlignment="1">
      <alignment vertical="center"/>
    </xf>
    <xf numFmtId="175" fontId="7" fillId="0" borderId="0" xfId="0" applyNumberFormat="1" applyFont="1" applyAlignment="1">
      <alignment vertical="center"/>
    </xf>
    <xf numFmtId="176" fontId="8" fillId="0" borderId="0" xfId="0" applyNumberFormat="1" applyFont="1"/>
    <xf numFmtId="176" fontId="0" fillId="0" borderId="6" xfId="0" applyNumberFormat="1" applyBorder="1" applyAlignment="1">
      <alignment vertical="center"/>
    </xf>
    <xf numFmtId="176" fontId="0" fillId="0" borderId="8" xfId="0" applyNumberFormat="1" applyBorder="1"/>
    <xf numFmtId="176" fontId="0" fillId="0" borderId="10" xfId="0" applyNumberFormat="1" applyBorder="1"/>
    <xf numFmtId="179" fontId="0" fillId="0" borderId="0" xfId="0" applyNumberFormat="1" applyAlignment="1">
      <alignment vertical="center"/>
    </xf>
    <xf numFmtId="0" fontId="9" fillId="0" borderId="0" xfId="0" applyFont="1" applyAlignment="1">
      <alignment vertical="center"/>
    </xf>
    <xf numFmtId="168" fontId="13" fillId="0" borderId="0" xfId="0" applyNumberFormat="1" applyFont="1" applyAlignment="1">
      <alignment vertical="center"/>
    </xf>
    <xf numFmtId="164" fontId="6" fillId="0" borderId="1" xfId="0" applyNumberFormat="1" applyFont="1" applyBorder="1" applyAlignment="1">
      <alignment vertical="center"/>
    </xf>
    <xf numFmtId="168" fontId="10" fillId="0" borderId="1" xfId="0" applyNumberFormat="1" applyFont="1" applyBorder="1" applyAlignment="1">
      <alignment vertical="center"/>
    </xf>
    <xf numFmtId="164" fontId="6" fillId="0" borderId="0" xfId="0" applyNumberFormat="1" applyFont="1" applyAlignment="1">
      <alignment vertical="center"/>
    </xf>
    <xf numFmtId="168" fontId="14" fillId="0" borderId="0" xfId="0" applyNumberFormat="1" applyFont="1" applyAlignment="1">
      <alignment vertical="center"/>
    </xf>
    <xf numFmtId="168" fontId="10" fillId="0" borderId="0" xfId="0" applyNumberFormat="1" applyFont="1" applyAlignment="1">
      <alignment vertical="center"/>
    </xf>
    <xf numFmtId="164" fontId="6" fillId="0" borderId="2" xfId="0" applyNumberFormat="1" applyFont="1" applyBorder="1" applyAlignment="1">
      <alignment vertical="center"/>
    </xf>
    <xf numFmtId="168" fontId="13" fillId="0" borderId="11" xfId="0" applyNumberFormat="1" applyFont="1" applyBorder="1" applyAlignment="1">
      <alignment vertical="center"/>
    </xf>
    <xf numFmtId="164" fontId="13" fillId="0" borderId="0" xfId="0" applyNumberFormat="1" applyFont="1" applyAlignment="1">
      <alignment vertical="center"/>
    </xf>
    <xf numFmtId="181" fontId="5" fillId="5" borderId="3" xfId="0" applyNumberFormat="1" applyFont="1" applyFill="1" applyBorder="1" applyAlignment="1">
      <alignment horizontal="right" vertical="center"/>
    </xf>
    <xf numFmtId="181" fontId="5" fillId="5" borderId="0" xfId="0" applyNumberFormat="1" applyFont="1" applyFill="1" applyAlignment="1">
      <alignment horizontal="right" vertical="center"/>
    </xf>
    <xf numFmtId="168" fontId="0" fillId="0" borderId="3" xfId="0" applyNumberFormat="1" applyBorder="1" applyAlignment="1">
      <alignment vertical="center"/>
    </xf>
    <xf numFmtId="168" fontId="8" fillId="0" borderId="0" xfId="0" applyNumberFormat="1" applyFont="1" applyAlignment="1">
      <alignment vertical="center"/>
    </xf>
    <xf numFmtId="164" fontId="0" fillId="0" borderId="0" xfId="0" applyNumberFormat="1" applyAlignment="1">
      <alignment horizontal="left" vertical="center" indent="1"/>
    </xf>
    <xf numFmtId="164" fontId="8" fillId="0" borderId="0" xfId="0" applyNumberFormat="1" applyFont="1" applyAlignment="1">
      <alignment horizontal="left" vertical="center" indent="1"/>
    </xf>
    <xf numFmtId="0" fontId="0" fillId="0" borderId="2" xfId="0" applyBorder="1" applyAlignment="1">
      <alignment vertical="center"/>
    </xf>
    <xf numFmtId="164" fontId="15" fillId="0" borderId="0" xfId="0" applyNumberFormat="1" applyFont="1" applyAlignment="1">
      <alignment vertical="center"/>
    </xf>
    <xf numFmtId="0" fontId="0" fillId="0" borderId="1" xfId="0" applyBorder="1" applyAlignment="1">
      <alignment vertical="center"/>
    </xf>
    <xf numFmtId="166" fontId="15" fillId="0" borderId="8" xfId="0" applyNumberFormat="1" applyFont="1" applyBorder="1" applyAlignment="1">
      <alignment vertical="center"/>
    </xf>
    <xf numFmtId="177" fontId="15" fillId="0" borderId="10" xfId="0" applyNumberFormat="1" applyFont="1" applyBorder="1" applyAlignment="1">
      <alignment vertical="center"/>
    </xf>
    <xf numFmtId="0" fontId="6" fillId="0" borderId="1" xfId="0" applyFont="1" applyBorder="1" applyAlignment="1">
      <alignment vertical="center"/>
    </xf>
    <xf numFmtId="166" fontId="7" fillId="0" borderId="0" xfId="0" applyNumberFormat="1" applyFont="1" applyAlignment="1">
      <alignment vertical="center"/>
    </xf>
    <xf numFmtId="164" fontId="0" fillId="0" borderId="17" xfId="0" applyNumberFormat="1" applyBorder="1" applyAlignment="1">
      <alignment vertical="center"/>
    </xf>
    <xf numFmtId="164" fontId="15" fillId="0" borderId="18" xfId="0" applyNumberFormat="1" applyFont="1" applyBorder="1" applyAlignment="1">
      <alignment vertical="center"/>
    </xf>
    <xf numFmtId="164" fontId="15" fillId="0" borderId="19" xfId="0" applyNumberFormat="1" applyFont="1" applyBorder="1" applyAlignment="1">
      <alignment vertical="center"/>
    </xf>
    <xf numFmtId="175" fontId="13" fillId="7" borderId="12" xfId="0" applyNumberFormat="1" applyFont="1" applyFill="1" applyBorder="1" applyAlignment="1">
      <alignment vertical="center"/>
    </xf>
    <xf numFmtId="0" fontId="27" fillId="9" borderId="12" xfId="4" applyFont="1" applyFill="1" applyBorder="1" applyAlignment="1">
      <alignment horizontal="center"/>
    </xf>
    <xf numFmtId="0" fontId="27" fillId="0" borderId="0" xfId="4" applyFont="1"/>
    <xf numFmtId="0" fontId="27" fillId="0" borderId="2" xfId="4" applyFont="1" applyBorder="1"/>
    <xf numFmtId="0" fontId="27" fillId="0" borderId="2" xfId="4" applyFont="1" applyBorder="1" applyAlignment="1">
      <alignment horizontal="center"/>
    </xf>
    <xf numFmtId="0" fontId="27" fillId="0" borderId="0" xfId="4" applyFont="1" applyAlignment="1">
      <alignment horizontal="center"/>
    </xf>
    <xf numFmtId="0" fontId="27" fillId="6" borderId="12" xfId="4" applyFont="1" applyFill="1" applyBorder="1" applyAlignment="1">
      <alignment horizontal="center"/>
    </xf>
    <xf numFmtId="0" fontId="27" fillId="8" borderId="12" xfId="4" applyFont="1" applyFill="1" applyBorder="1" applyAlignment="1">
      <alignment horizontal="center"/>
    </xf>
    <xf numFmtId="0" fontId="27" fillId="0" borderId="1" xfId="4" quotePrefix="1" applyFont="1" applyBorder="1"/>
    <xf numFmtId="0" fontId="27" fillId="0" borderId="1" xfId="4" applyFont="1" applyBorder="1"/>
    <xf numFmtId="0" fontId="27" fillId="0" borderId="1" xfId="4" applyFont="1" applyBorder="1" applyAlignment="1">
      <alignment horizontal="center"/>
    </xf>
    <xf numFmtId="164" fontId="6" fillId="0" borderId="0" xfId="0" applyNumberFormat="1" applyFont="1"/>
    <xf numFmtId="0" fontId="10" fillId="0" borderId="0" xfId="0" quotePrefix="1" applyFont="1" applyAlignment="1">
      <alignment horizontal="left" vertical="center" indent="1"/>
    </xf>
    <xf numFmtId="164" fontId="16" fillId="0" borderId="0" xfId="0" applyNumberFormat="1" applyFont="1" applyAlignment="1">
      <alignment horizontal="right" vertical="center"/>
    </xf>
    <xf numFmtId="179" fontId="0" fillId="0" borderId="0" xfId="0" applyNumberFormat="1"/>
    <xf numFmtId="166" fontId="15" fillId="0" borderId="0" xfId="0" applyNumberFormat="1" applyFont="1" applyAlignment="1">
      <alignment vertical="center"/>
    </xf>
    <xf numFmtId="0" fontId="28" fillId="0" borderId="0" xfId="0" applyFont="1" applyAlignment="1">
      <alignment horizontal="center" vertical="center"/>
    </xf>
    <xf numFmtId="181" fontId="5" fillId="4" borderId="0" xfId="0" applyNumberFormat="1" applyFont="1" applyFill="1" applyAlignment="1">
      <alignment vertical="center"/>
    </xf>
    <xf numFmtId="182" fontId="6" fillId="3" borderId="0" xfId="0" applyNumberFormat="1" applyFont="1" applyFill="1" applyAlignment="1">
      <alignment vertical="center"/>
    </xf>
    <xf numFmtId="178" fontId="13" fillId="0" borderId="0" xfId="0" applyNumberFormat="1" applyFont="1" applyAlignment="1">
      <alignment vertical="center"/>
    </xf>
    <xf numFmtId="178" fontId="6" fillId="3" borderId="0" xfId="0" applyNumberFormat="1" applyFont="1" applyFill="1" applyAlignment="1">
      <alignment vertical="center"/>
    </xf>
    <xf numFmtId="179" fontId="6" fillId="3" borderId="0" xfId="0" applyNumberFormat="1" applyFont="1" applyFill="1" applyAlignment="1">
      <alignment vertical="center"/>
    </xf>
    <xf numFmtId="178" fontId="0" fillId="0" borderId="0" xfId="0" applyNumberFormat="1"/>
    <xf numFmtId="179" fontId="6" fillId="0" borderId="1" xfId="0" applyNumberFormat="1" applyFont="1" applyBorder="1"/>
    <xf numFmtId="0" fontId="6" fillId="0" borderId="0" xfId="0" applyFont="1"/>
    <xf numFmtId="179" fontId="0" fillId="0" borderId="13" xfId="0" applyNumberFormat="1" applyBorder="1" applyAlignment="1">
      <alignment vertical="center"/>
    </xf>
    <xf numFmtId="179" fontId="0" fillId="0" borderId="14" xfId="0" applyNumberFormat="1" applyBorder="1" applyAlignment="1">
      <alignment vertical="center"/>
    </xf>
    <xf numFmtId="179" fontId="0" fillId="0" borderId="15" xfId="0" applyNumberFormat="1" applyBorder="1" applyAlignment="1">
      <alignment vertical="center"/>
    </xf>
    <xf numFmtId="179" fontId="0" fillId="0" borderId="3" xfId="0" applyNumberFormat="1" applyBorder="1" applyAlignment="1">
      <alignment vertical="center"/>
    </xf>
    <xf numFmtId="179" fontId="15" fillId="0" borderId="16" xfId="0" applyNumberFormat="1" applyFont="1" applyBorder="1" applyAlignment="1">
      <alignment vertical="center"/>
    </xf>
    <xf numFmtId="179" fontId="0" fillId="0" borderId="17" xfId="0" applyNumberFormat="1" applyBorder="1" applyAlignment="1">
      <alignment vertical="center"/>
    </xf>
    <xf numFmtId="179" fontId="15" fillId="0" borderId="18" xfId="0" applyNumberFormat="1" applyFont="1" applyBorder="1" applyAlignment="1">
      <alignment vertical="center"/>
    </xf>
    <xf numFmtId="179" fontId="15" fillId="0" borderId="19" xfId="0" applyNumberFormat="1" applyFont="1" applyBorder="1" applyAlignment="1">
      <alignment vertical="center"/>
    </xf>
    <xf numFmtId="164" fontId="15" fillId="0" borderId="0" xfId="0" applyNumberFormat="1" applyFont="1" applyAlignment="1">
      <alignment horizontal="right"/>
    </xf>
    <xf numFmtId="0" fontId="0" fillId="0" borderId="0" xfId="0" applyAlignment="1">
      <alignment horizontal="left"/>
    </xf>
    <xf numFmtId="0" fontId="6" fillId="0" borderId="0" xfId="0" applyFont="1" applyAlignment="1">
      <alignment vertical="center"/>
    </xf>
    <xf numFmtId="0" fontId="17" fillId="0" borderId="0" xfId="0" applyFont="1" applyAlignment="1">
      <alignment vertical="center"/>
    </xf>
    <xf numFmtId="164" fontId="17" fillId="0" borderId="0" xfId="0" applyNumberFormat="1" applyFont="1" applyAlignment="1">
      <alignment vertical="center"/>
    </xf>
    <xf numFmtId="164" fontId="10" fillId="0" borderId="0" xfId="0" applyNumberFormat="1" applyFont="1" applyAlignment="1">
      <alignment vertical="center"/>
    </xf>
    <xf numFmtId="0" fontId="15" fillId="0" borderId="0" xfId="0" applyFont="1" applyAlignment="1">
      <alignment vertical="center"/>
    </xf>
    <xf numFmtId="0" fontId="6" fillId="10" borderId="0" xfId="0" applyFont="1" applyFill="1" applyAlignment="1">
      <alignment horizontal="left" vertical="center" indent="1"/>
    </xf>
    <xf numFmtId="0" fontId="0" fillId="0" borderId="2" xfId="0" applyBorder="1" applyAlignment="1">
      <alignment horizontal="left" vertical="center" indent="1"/>
    </xf>
    <xf numFmtId="164" fontId="0" fillId="0" borderId="2" xfId="0" applyNumberFormat="1" applyBorder="1" applyAlignment="1">
      <alignment vertical="center"/>
    </xf>
    <xf numFmtId="0" fontId="0" fillId="8" borderId="0" xfId="0" applyFill="1" applyAlignment="1">
      <alignment horizontal="left" indent="1"/>
    </xf>
    <xf numFmtId="164" fontId="15" fillId="8" borderId="0" xfId="0" applyNumberFormat="1" applyFont="1" applyFill="1"/>
    <xf numFmtId="0" fontId="6" fillId="8" borderId="0" xfId="0" applyFont="1" applyFill="1" applyAlignment="1">
      <alignment horizontal="left" indent="1"/>
    </xf>
    <xf numFmtId="164" fontId="0" fillId="8" borderId="0" xfId="0" applyNumberFormat="1" applyFill="1" applyAlignment="1">
      <alignment horizontal="right"/>
    </xf>
    <xf numFmtId="179" fontId="15" fillId="8" borderId="0" xfId="0" applyNumberFormat="1" applyFont="1" applyFill="1"/>
    <xf numFmtId="0" fontId="6" fillId="0" borderId="2" xfId="0" applyFont="1" applyBorder="1" applyAlignment="1">
      <alignment horizontal="left" indent="1"/>
    </xf>
    <xf numFmtId="164" fontId="6" fillId="0" borderId="2" xfId="0" applyNumberFormat="1" applyFont="1" applyBorder="1"/>
    <xf numFmtId="164" fontId="5" fillId="2" borderId="0" xfId="0" applyNumberFormat="1" applyFont="1" applyFill="1" applyAlignment="1">
      <alignment horizontal="left" vertical="center" indent="1"/>
    </xf>
    <xf numFmtId="0" fontId="7" fillId="0" borderId="0" xfId="0" applyFont="1"/>
    <xf numFmtId="0" fontId="8" fillId="0" borderId="0" xfId="0" applyFont="1"/>
    <xf numFmtId="0" fontId="32" fillId="0" borderId="0" xfId="0" applyFont="1"/>
    <xf numFmtId="0" fontId="33" fillId="0" borderId="0" xfId="0" applyFont="1"/>
    <xf numFmtId="177" fontId="15" fillId="0" borderId="10" xfId="0" applyNumberFormat="1" applyFont="1" applyBorder="1" applyAlignment="1">
      <alignment horizontal="right"/>
    </xf>
    <xf numFmtId="164" fontId="24" fillId="0" borderId="0" xfId="0" applyNumberFormat="1" applyFont="1"/>
    <xf numFmtId="177" fontId="24" fillId="0" borderId="0" xfId="0" applyNumberFormat="1" applyFont="1" applyAlignment="1">
      <alignment horizontal="left" indent="1"/>
    </xf>
    <xf numFmtId="167" fontId="6" fillId="0" borderId="2" xfId="0" applyNumberFormat="1" applyFont="1" applyBorder="1" applyAlignment="1">
      <alignment vertical="center"/>
    </xf>
    <xf numFmtId="168" fontId="6" fillId="0" borderId="2" xfId="0" applyNumberFormat="1" applyFont="1" applyBorder="1" applyAlignment="1">
      <alignment vertical="center"/>
    </xf>
    <xf numFmtId="176" fontId="6" fillId="0" borderId="2" xfId="0" applyNumberFormat="1" applyFont="1" applyBorder="1" applyAlignment="1">
      <alignment vertical="center"/>
    </xf>
    <xf numFmtId="172" fontId="0" fillId="0" borderId="0" xfId="0" applyNumberFormat="1" applyAlignment="1">
      <alignment vertical="center"/>
    </xf>
    <xf numFmtId="164" fontId="5" fillId="2" borderId="0" xfId="0" applyNumberFormat="1" applyFont="1" applyFill="1" applyAlignment="1">
      <alignment horizontal="right"/>
    </xf>
    <xf numFmtId="182" fontId="6" fillId="0" borderId="0" xfId="0" applyNumberFormat="1" applyFont="1"/>
    <xf numFmtId="0" fontId="6" fillId="0" borderId="25" xfId="0" applyFont="1" applyBorder="1" applyAlignment="1">
      <alignment horizontal="left" vertical="center" indent="1"/>
    </xf>
    <xf numFmtId="182" fontId="6" fillId="0" borderId="25" xfId="0" applyNumberFormat="1" applyFont="1" applyBorder="1" applyAlignment="1">
      <alignment vertical="center"/>
    </xf>
    <xf numFmtId="164" fontId="5" fillId="2" borderId="0" xfId="0" applyNumberFormat="1" applyFont="1" applyFill="1" applyAlignment="1">
      <alignment horizontal="right" wrapText="1" indent="1"/>
    </xf>
    <xf numFmtId="0" fontId="6" fillId="0" borderId="25" xfId="0" applyFont="1" applyBorder="1" applyAlignment="1">
      <alignment vertical="center"/>
    </xf>
    <xf numFmtId="167" fontId="6" fillId="0" borderId="25" xfId="0" applyNumberFormat="1" applyFont="1" applyBorder="1" applyAlignment="1">
      <alignment vertical="center"/>
    </xf>
    <xf numFmtId="168" fontId="13" fillId="0" borderId="2" xfId="0" applyNumberFormat="1" applyFont="1" applyBorder="1" applyAlignment="1">
      <alignment vertical="center"/>
    </xf>
    <xf numFmtId="186" fontId="0" fillId="0" borderId="0" xfId="0" applyNumberFormat="1" applyAlignment="1">
      <alignment vertical="center"/>
    </xf>
    <xf numFmtId="10" fontId="0" fillId="0" borderId="0" xfId="3" applyNumberFormat="1" applyFont="1"/>
    <xf numFmtId="9" fontId="8" fillId="0" borderId="0" xfId="3" applyFont="1" applyAlignment="1">
      <alignment vertical="center"/>
    </xf>
    <xf numFmtId="189" fontId="8" fillId="0" borderId="0" xfId="0" applyNumberFormat="1" applyFont="1" applyAlignment="1">
      <alignment vertical="center"/>
    </xf>
    <xf numFmtId="168" fontId="36" fillId="0" borderId="0" xfId="0" applyNumberFormat="1" applyFont="1" applyAlignment="1">
      <alignment vertical="center"/>
    </xf>
    <xf numFmtId="168" fontId="37" fillId="0" borderId="0" xfId="0" applyNumberFormat="1" applyFont="1" applyAlignment="1">
      <alignment vertical="center"/>
    </xf>
    <xf numFmtId="0" fontId="36" fillId="0" borderId="0" xfId="0" applyFont="1"/>
    <xf numFmtId="0" fontId="15" fillId="0" borderId="0" xfId="0" applyFont="1"/>
    <xf numFmtId="0" fontId="38" fillId="0" borderId="1" xfId="0" applyFont="1" applyBorder="1"/>
    <xf numFmtId="0" fontId="15" fillId="0" borderId="1" xfId="0" applyFont="1" applyBorder="1"/>
    <xf numFmtId="0" fontId="36" fillId="0" borderId="1" xfId="0" applyFont="1" applyBorder="1"/>
    <xf numFmtId="2" fontId="36" fillId="0" borderId="0" xfId="0" applyNumberFormat="1" applyFont="1"/>
    <xf numFmtId="168" fontId="17" fillId="0" borderId="0" xfId="0" applyNumberFormat="1" applyFont="1" applyAlignment="1">
      <alignment vertical="center"/>
    </xf>
    <xf numFmtId="0" fontId="2" fillId="0" borderId="0" xfId="13"/>
    <xf numFmtId="49" fontId="2" fillId="0" borderId="0" xfId="13" applyNumberFormat="1"/>
    <xf numFmtId="168" fontId="2" fillId="0" borderId="0" xfId="13" applyNumberFormat="1"/>
    <xf numFmtId="165" fontId="2" fillId="0" borderId="0" xfId="13" applyNumberFormat="1"/>
    <xf numFmtId="187" fontId="0" fillId="0" borderId="0" xfId="14" applyNumberFormat="1" applyFont="1" applyFill="1"/>
    <xf numFmtId="187" fontId="0" fillId="0" borderId="0" xfId="14" applyNumberFormat="1" applyFont="1"/>
    <xf numFmtId="194" fontId="0" fillId="0" borderId="0" xfId="0" applyNumberFormat="1" applyAlignment="1">
      <alignment vertical="center"/>
    </xf>
    <xf numFmtId="188" fontId="0" fillId="0" borderId="0" xfId="0" applyNumberFormat="1" applyAlignment="1">
      <alignment vertical="center"/>
    </xf>
    <xf numFmtId="187" fontId="0" fillId="0" borderId="0" xfId="3" applyNumberFormat="1" applyFont="1" applyAlignment="1">
      <alignment vertical="center"/>
    </xf>
    <xf numFmtId="9" fontId="13" fillId="0" borderId="0" xfId="0" applyNumberFormat="1" applyFont="1" applyAlignment="1">
      <alignment vertical="center"/>
    </xf>
    <xf numFmtId="187" fontId="0" fillId="0" borderId="0" xfId="14" applyNumberFormat="1" applyFont="1" applyFill="1" applyBorder="1"/>
    <xf numFmtId="187" fontId="6" fillId="0" borderId="26" xfId="14" applyNumberFormat="1" applyFont="1" applyFill="1" applyBorder="1"/>
    <xf numFmtId="190" fontId="0" fillId="8" borderId="0" xfId="0" applyNumberFormat="1" applyFill="1" applyAlignment="1">
      <alignment horizontal="left" indent="1"/>
    </xf>
    <xf numFmtId="0" fontId="0" fillId="0" borderId="26" xfId="0" applyBorder="1" applyAlignment="1">
      <alignment vertical="center"/>
    </xf>
    <xf numFmtId="164" fontId="36" fillId="0" borderId="0" xfId="0" applyNumberFormat="1" applyFont="1"/>
    <xf numFmtId="164" fontId="38" fillId="0" borderId="26" xfId="0" applyNumberFormat="1" applyFont="1" applyBorder="1"/>
    <xf numFmtId="164" fontId="21" fillId="0" borderId="28" xfId="0" applyNumberFormat="1" applyFont="1" applyBorder="1" applyAlignment="1">
      <alignment horizontal="right" vertical="center" wrapText="1" indent="1"/>
    </xf>
    <xf numFmtId="164" fontId="21" fillId="0" borderId="26" xfId="0" applyNumberFormat="1" applyFont="1" applyBorder="1" applyAlignment="1">
      <alignment horizontal="right" vertical="center" wrapText="1" indent="1"/>
    </xf>
    <xf numFmtId="177" fontId="21" fillId="0" borderId="29" xfId="0" applyNumberFormat="1" applyFont="1" applyBorder="1" applyAlignment="1">
      <alignment horizontal="right" vertical="center" wrapText="1" indent="1"/>
    </xf>
    <xf numFmtId="164" fontId="21" fillId="0" borderId="30" xfId="0" applyNumberFormat="1" applyFont="1" applyBorder="1" applyAlignment="1">
      <alignment horizontal="right"/>
    </xf>
    <xf numFmtId="164" fontId="21" fillId="0" borderId="0" xfId="0" applyNumberFormat="1" applyFont="1" applyAlignment="1">
      <alignment horizontal="right"/>
    </xf>
    <xf numFmtId="164" fontId="21" fillId="0" borderId="27" xfId="0" applyNumberFormat="1" applyFont="1" applyBorder="1" applyAlignment="1">
      <alignment horizontal="right"/>
    </xf>
    <xf numFmtId="164" fontId="21" fillId="0" borderId="31" xfId="0" applyNumberFormat="1" applyFont="1" applyBorder="1" applyAlignment="1">
      <alignment horizontal="right"/>
    </xf>
    <xf numFmtId="164" fontId="21" fillId="0" borderId="32" xfId="0" applyNumberFormat="1" applyFont="1" applyBorder="1" applyAlignment="1">
      <alignment horizontal="right"/>
    </xf>
    <xf numFmtId="164" fontId="21" fillId="0" borderId="33" xfId="0" applyNumberFormat="1" applyFont="1" applyBorder="1" applyAlignment="1">
      <alignment horizontal="right"/>
    </xf>
    <xf numFmtId="164" fontId="21" fillId="0" borderId="0" xfId="0" applyNumberFormat="1" applyFont="1" applyAlignment="1">
      <alignment horizontal="right" vertical="center" wrapText="1" indent="1"/>
    </xf>
    <xf numFmtId="9" fontId="0" fillId="0" borderId="0" xfId="3" applyFont="1" applyAlignment="1">
      <alignment vertical="center"/>
    </xf>
    <xf numFmtId="0" fontId="5" fillId="0" borderId="0" xfId="0" applyFont="1" applyAlignment="1">
      <alignment horizontal="left" vertical="center" indent="1"/>
    </xf>
    <xf numFmtId="0" fontId="0" fillId="11" borderId="0" xfId="0" applyFill="1"/>
    <xf numFmtId="0" fontId="46" fillId="0" borderId="0" xfId="0" applyFont="1"/>
    <xf numFmtId="0" fontId="10" fillId="10" borderId="0" xfId="0" applyFont="1" applyFill="1" applyAlignment="1">
      <alignment horizontal="left" vertical="center" indent="1"/>
    </xf>
    <xf numFmtId="164" fontId="10" fillId="10" borderId="0" xfId="0" applyNumberFormat="1" applyFont="1" applyFill="1" applyAlignment="1">
      <alignment vertical="center"/>
    </xf>
    <xf numFmtId="168" fontId="10" fillId="10" borderId="0" xfId="0" applyNumberFormat="1" applyFont="1" applyFill="1" applyAlignment="1">
      <alignment vertical="center"/>
    </xf>
    <xf numFmtId="181" fontId="5" fillId="12" borderId="3" xfId="0" applyNumberFormat="1" applyFont="1" applyFill="1" applyBorder="1" applyAlignment="1">
      <alignment horizontal="right" vertical="center"/>
    </xf>
    <xf numFmtId="181" fontId="5" fillId="12" borderId="0" xfId="0" applyNumberFormat="1" applyFont="1" applyFill="1" applyAlignment="1">
      <alignment horizontal="right" vertical="center"/>
    </xf>
    <xf numFmtId="0" fontId="6" fillId="10" borderId="0" xfId="13" applyFont="1" applyFill="1"/>
    <xf numFmtId="172" fontId="14" fillId="10" borderId="0" xfId="13" applyNumberFormat="1" applyFont="1" applyFill="1"/>
    <xf numFmtId="172" fontId="6" fillId="10" borderId="0" xfId="13" applyNumberFormat="1" applyFont="1" applyFill="1"/>
    <xf numFmtId="168" fontId="14" fillId="10" borderId="0" xfId="0" applyNumberFormat="1" applyFont="1" applyFill="1" applyAlignment="1">
      <alignment vertical="center"/>
    </xf>
    <xf numFmtId="192" fontId="6" fillId="10" borderId="0" xfId="13" applyNumberFormat="1" applyFont="1" applyFill="1"/>
    <xf numFmtId="10" fontId="6" fillId="10" borderId="0" xfId="13" applyNumberFormat="1" applyFont="1" applyFill="1"/>
    <xf numFmtId="4" fontId="14" fillId="10" borderId="0" xfId="13" applyNumberFormat="1" applyFont="1" applyFill="1"/>
    <xf numFmtId="2" fontId="6" fillId="10" borderId="0" xfId="13" applyNumberFormat="1" applyFont="1" applyFill="1"/>
    <xf numFmtId="9" fontId="14" fillId="10" borderId="0" xfId="13" applyNumberFormat="1" applyFont="1" applyFill="1"/>
    <xf numFmtId="165" fontId="0" fillId="0" borderId="0" xfId="13" applyNumberFormat="1" applyFont="1"/>
    <xf numFmtId="0" fontId="0" fillId="0" borderId="0" xfId="13" applyFont="1"/>
    <xf numFmtId="0" fontId="6" fillId="0" borderId="26" xfId="13" applyFont="1" applyBorder="1"/>
    <xf numFmtId="0" fontId="0" fillId="0" borderId="26" xfId="13" applyFont="1" applyBorder="1"/>
    <xf numFmtId="191" fontId="6" fillId="0" borderId="26" xfId="13" applyNumberFormat="1" applyFont="1" applyBorder="1"/>
    <xf numFmtId="4" fontId="10" fillId="0" borderId="26" xfId="13" applyNumberFormat="1" applyFont="1" applyBorder="1"/>
    <xf numFmtId="2" fontId="6" fillId="0" borderId="26" xfId="13" applyNumberFormat="1" applyFont="1" applyBorder="1"/>
    <xf numFmtId="172" fontId="0" fillId="0" borderId="0" xfId="13" applyNumberFormat="1" applyFont="1"/>
    <xf numFmtId="164" fontId="0" fillId="0" borderId="0" xfId="13" applyNumberFormat="1" applyFont="1"/>
    <xf numFmtId="173" fontId="0" fillId="0" borderId="0" xfId="13" applyNumberFormat="1" applyFont="1"/>
    <xf numFmtId="175" fontId="0" fillId="0" borderId="0" xfId="13" applyNumberFormat="1" applyFont="1"/>
    <xf numFmtId="193" fontId="0" fillId="0" borderId="0" xfId="12" applyNumberFormat="1" applyFont="1"/>
    <xf numFmtId="193" fontId="0" fillId="0" borderId="0" xfId="13" applyNumberFormat="1" applyFont="1"/>
    <xf numFmtId="0" fontId="7" fillId="0" borderId="0" xfId="13" applyFont="1"/>
    <xf numFmtId="0" fontId="0" fillId="0" borderId="2" xfId="13" applyFont="1" applyBorder="1"/>
    <xf numFmtId="173" fontId="0" fillId="0" borderId="2" xfId="13" applyNumberFormat="1" applyFont="1" applyBorder="1"/>
    <xf numFmtId="0" fontId="6" fillId="0" borderId="0" xfId="13" applyFont="1"/>
    <xf numFmtId="173" fontId="6" fillId="0" borderId="0" xfId="13" applyNumberFormat="1" applyFont="1"/>
    <xf numFmtId="175" fontId="6" fillId="0" borderId="0" xfId="13" applyNumberFormat="1" applyFont="1"/>
    <xf numFmtId="185" fontId="0" fillId="0" borderId="0" xfId="13" applyNumberFormat="1" applyFont="1"/>
    <xf numFmtId="174" fontId="0" fillId="0" borderId="0" xfId="13" applyNumberFormat="1" applyFont="1"/>
    <xf numFmtId="183" fontId="0" fillId="0" borderId="0" xfId="13" applyNumberFormat="1" applyFont="1"/>
    <xf numFmtId="164" fontId="6" fillId="10" borderId="0" xfId="13" applyNumberFormat="1" applyFont="1" applyFill="1"/>
    <xf numFmtId="166" fontId="6" fillId="10" borderId="0" xfId="13" applyNumberFormat="1" applyFont="1" applyFill="1"/>
    <xf numFmtId="179" fontId="0" fillId="0" borderId="0" xfId="13" applyNumberFormat="1" applyFont="1"/>
    <xf numFmtId="187" fontId="6" fillId="10" borderId="0" xfId="14" applyNumberFormat="1" applyFont="1" applyFill="1"/>
    <xf numFmtId="168" fontId="6" fillId="10" borderId="0" xfId="0" applyNumberFormat="1" applyFont="1" applyFill="1" applyAlignment="1">
      <alignment vertical="center"/>
    </xf>
    <xf numFmtId="164" fontId="10" fillId="0" borderId="0" xfId="0" applyNumberFormat="1" applyFont="1" applyAlignment="1">
      <alignment horizontal="right" vertical="center" wrapText="1" indent="1"/>
    </xf>
    <xf numFmtId="0" fontId="46" fillId="0" borderId="0" xfId="0" applyFont="1" applyAlignment="1">
      <alignment vertical="center"/>
    </xf>
    <xf numFmtId="164" fontId="10" fillId="10" borderId="12" xfId="0" applyNumberFormat="1" applyFont="1" applyFill="1" applyBorder="1" applyAlignment="1">
      <alignment vertical="center"/>
    </xf>
    <xf numFmtId="164" fontId="10" fillId="13" borderId="12" xfId="0" applyNumberFormat="1" applyFont="1" applyFill="1" applyBorder="1" applyAlignment="1">
      <alignment vertical="center"/>
    </xf>
    <xf numFmtId="179" fontId="10" fillId="10" borderId="12" xfId="0" applyNumberFormat="1" applyFont="1" applyFill="1" applyBorder="1" applyAlignment="1">
      <alignment vertical="center"/>
    </xf>
    <xf numFmtId="179" fontId="10" fillId="14" borderId="12" xfId="0" applyNumberFormat="1" applyFont="1" applyFill="1" applyBorder="1" applyAlignment="1">
      <alignment vertical="center"/>
    </xf>
    <xf numFmtId="166" fontId="23" fillId="10" borderId="21" xfId="0" applyNumberFormat="1" applyFont="1" applyFill="1" applyBorder="1" applyAlignment="1">
      <alignment horizontal="centerContinuous" vertical="center"/>
    </xf>
    <xf numFmtId="166" fontId="23" fillId="10" borderId="22" xfId="0" applyNumberFormat="1" applyFont="1" applyFill="1" applyBorder="1" applyAlignment="1">
      <alignment horizontal="centerContinuous" vertical="center"/>
    </xf>
    <xf numFmtId="166" fontId="10" fillId="10" borderId="21" xfId="0" applyNumberFormat="1" applyFont="1" applyFill="1" applyBorder="1" applyAlignment="1">
      <alignment horizontal="centerContinuous" vertical="center"/>
    </xf>
    <xf numFmtId="166" fontId="10" fillId="10" borderId="20" xfId="0" applyNumberFormat="1" applyFont="1" applyFill="1" applyBorder="1" applyAlignment="1">
      <alignment horizontal="centerContinuous" vertical="center"/>
    </xf>
    <xf numFmtId="167" fontId="6" fillId="10" borderId="0" xfId="0" applyNumberFormat="1" applyFont="1" applyFill="1" applyAlignment="1">
      <alignment vertical="center"/>
    </xf>
    <xf numFmtId="190" fontId="0" fillId="0" borderId="0" xfId="0" applyNumberFormat="1"/>
    <xf numFmtId="0" fontId="10" fillId="0" borderId="0" xfId="0" applyFont="1" applyAlignment="1">
      <alignment horizontal="left" indent="1"/>
    </xf>
    <xf numFmtId="164" fontId="10" fillId="0" borderId="0" xfId="0" applyNumberFormat="1" applyFont="1" applyAlignment="1">
      <alignment horizontal="right" wrapText="1" indent="1"/>
    </xf>
    <xf numFmtId="0" fontId="0" fillId="0" borderId="32" xfId="0" applyBorder="1"/>
    <xf numFmtId="0" fontId="6" fillId="0" borderId="32" xfId="0" applyFont="1" applyBorder="1" applyAlignment="1">
      <alignment horizontal="left" vertical="center" indent="1"/>
    </xf>
    <xf numFmtId="194" fontId="13" fillId="0" borderId="0" xfId="0" applyNumberFormat="1" applyFont="1" applyAlignment="1">
      <alignment horizontal="right" vertical="center" indent="1"/>
    </xf>
    <xf numFmtId="0" fontId="7" fillId="0" borderId="0" xfId="0" applyFont="1" applyAlignment="1">
      <alignment vertical="center"/>
    </xf>
    <xf numFmtId="0" fontId="6" fillId="10" borderId="0" xfId="13" applyFont="1" applyFill="1" applyAlignment="1">
      <alignment vertical="center"/>
    </xf>
    <xf numFmtId="172" fontId="14" fillId="10" borderId="0" xfId="13" applyNumberFormat="1" applyFont="1" applyFill="1" applyAlignment="1">
      <alignment vertical="center"/>
    </xf>
    <xf numFmtId="172" fontId="6" fillId="10" borderId="0" xfId="13" applyNumberFormat="1" applyFont="1" applyFill="1" applyAlignment="1">
      <alignment vertical="center"/>
    </xf>
    <xf numFmtId="10" fontId="6" fillId="10" borderId="0" xfId="13" applyNumberFormat="1" applyFont="1" applyFill="1" applyAlignment="1">
      <alignment vertical="center"/>
    </xf>
    <xf numFmtId="4" fontId="14" fillId="10" borderId="0" xfId="13" applyNumberFormat="1" applyFont="1" applyFill="1" applyAlignment="1">
      <alignment vertical="center"/>
    </xf>
    <xf numFmtId="2" fontId="6" fillId="10" borderId="0" xfId="13" applyNumberFormat="1" applyFont="1" applyFill="1" applyAlignment="1">
      <alignment vertical="center"/>
    </xf>
    <xf numFmtId="9" fontId="14" fillId="10" borderId="0" xfId="13" applyNumberFormat="1" applyFont="1" applyFill="1" applyAlignment="1">
      <alignment vertical="center"/>
    </xf>
    <xf numFmtId="10" fontId="0" fillId="0" borderId="0" xfId="0" applyNumberFormat="1"/>
    <xf numFmtId="0" fontId="1" fillId="0" borderId="0" xfId="16"/>
    <xf numFmtId="0" fontId="9" fillId="0" borderId="0" xfId="16" applyFont="1"/>
    <xf numFmtId="0" fontId="1" fillId="0" borderId="3" xfId="16" applyBorder="1"/>
    <xf numFmtId="0" fontId="9" fillId="0" borderId="0" xfId="16" applyFont="1" applyAlignment="1">
      <alignment horizontal="left" vertical="center" indent="1"/>
    </xf>
    <xf numFmtId="0" fontId="1" fillId="0" borderId="0" xfId="16" applyAlignment="1">
      <alignment vertical="center"/>
    </xf>
    <xf numFmtId="0" fontId="1" fillId="0" borderId="3" xfId="16" applyBorder="1" applyAlignment="1">
      <alignment vertical="center"/>
    </xf>
    <xf numFmtId="0" fontId="1" fillId="0" borderId="0" xfId="16" applyAlignment="1">
      <alignment horizontal="left" indent="1"/>
    </xf>
    <xf numFmtId="49" fontId="1" fillId="0" borderId="0" xfId="16" applyNumberFormat="1"/>
    <xf numFmtId="168" fontId="15" fillId="0" borderId="0" xfId="16" applyNumberFormat="1" applyFont="1" applyAlignment="1">
      <alignment horizontal="right"/>
    </xf>
    <xf numFmtId="0" fontId="1" fillId="0" borderId="5" xfId="16" applyBorder="1" applyAlignment="1">
      <alignment horizontal="left" indent="1"/>
    </xf>
    <xf numFmtId="177" fontId="15" fillId="0" borderId="6" xfId="16" applyNumberFormat="1" applyFont="1" applyBorder="1" applyAlignment="1">
      <alignment horizontal="right"/>
    </xf>
    <xf numFmtId="0" fontId="1" fillId="0" borderId="9" xfId="16" applyBorder="1" applyAlignment="1">
      <alignment horizontal="left" indent="1"/>
    </xf>
    <xf numFmtId="177" fontId="15" fillId="0" borderId="10" xfId="16" applyNumberFormat="1" applyFont="1" applyBorder="1" applyAlignment="1">
      <alignment horizontal="right"/>
    </xf>
    <xf numFmtId="177" fontId="15" fillId="0" borderId="0" xfId="16" applyNumberFormat="1" applyFont="1" applyAlignment="1">
      <alignment horizontal="right"/>
    </xf>
    <xf numFmtId="0" fontId="1" fillId="15" borderId="34" xfId="16" applyFill="1" applyBorder="1"/>
    <xf numFmtId="0" fontId="1" fillId="15" borderId="35" xfId="16" applyFill="1" applyBorder="1"/>
    <xf numFmtId="0" fontId="1" fillId="15" borderId="36" xfId="16" applyFill="1" applyBorder="1"/>
    <xf numFmtId="0" fontId="1" fillId="15" borderId="37" xfId="16" applyFill="1" applyBorder="1"/>
    <xf numFmtId="0" fontId="1" fillId="15" borderId="0" xfId="16" applyFill="1"/>
    <xf numFmtId="0" fontId="1" fillId="15" borderId="38" xfId="16" applyFill="1" applyBorder="1"/>
    <xf numFmtId="165" fontId="12" fillId="2" borderId="0" xfId="16" applyNumberFormat="1" applyFont="1" applyFill="1" applyAlignment="1">
      <alignment horizontal="left" vertical="center" wrapText="1" indent="1"/>
    </xf>
    <xf numFmtId="0" fontId="5" fillId="2" borderId="0" xfId="16" applyFont="1" applyFill="1" applyAlignment="1">
      <alignment horizontal="left" vertical="center" wrapText="1" indent="1"/>
    </xf>
    <xf numFmtId="0" fontId="5" fillId="2" borderId="0" xfId="16" applyFont="1" applyFill="1" applyAlignment="1">
      <alignment horizontal="right" vertical="center" wrapText="1" indent="1"/>
    </xf>
    <xf numFmtId="0" fontId="5" fillId="2" borderId="0" xfId="16" applyFont="1" applyFill="1" applyAlignment="1">
      <alignment horizontal="right" wrapText="1" indent="1"/>
    </xf>
    <xf numFmtId="0" fontId="5" fillId="15" borderId="37" xfId="16" applyFont="1" applyFill="1" applyBorder="1" applyAlignment="1">
      <alignment horizontal="right" vertical="center" wrapText="1" indent="1"/>
    </xf>
    <xf numFmtId="0" fontId="5" fillId="15" borderId="0" xfId="16" applyFont="1" applyFill="1" applyAlignment="1">
      <alignment horizontal="right" vertical="center" wrapText="1" indent="1"/>
    </xf>
    <xf numFmtId="0" fontId="47" fillId="16" borderId="0" xfId="16" applyFont="1" applyFill="1"/>
    <xf numFmtId="0" fontId="24" fillId="17" borderId="0" xfId="16" applyFont="1" applyFill="1" applyAlignment="1">
      <alignment horizontal="left" indent="1"/>
    </xf>
    <xf numFmtId="164" fontId="24" fillId="0" borderId="0" xfId="16" applyNumberFormat="1" applyFont="1" applyAlignment="1">
      <alignment horizontal="right"/>
    </xf>
    <xf numFmtId="164" fontId="13" fillId="0" borderId="0" xfId="16" applyNumberFormat="1" applyFont="1"/>
    <xf numFmtId="187" fontId="24" fillId="0" borderId="0" xfId="17" applyNumberFormat="1" applyFont="1" applyAlignment="1">
      <alignment horizontal="right"/>
    </xf>
    <xf numFmtId="179" fontId="15" fillId="0" borderId="0" xfId="16" applyNumberFormat="1" applyFont="1"/>
    <xf numFmtId="179" fontId="15" fillId="15" borderId="37" xfId="16" applyNumberFormat="1" applyFont="1" applyFill="1" applyBorder="1"/>
    <xf numFmtId="179" fontId="15" fillId="15" borderId="0" xfId="16" applyNumberFormat="1" applyFont="1" applyFill="1"/>
    <xf numFmtId="0" fontId="24" fillId="18" borderId="0" xfId="16" applyFont="1" applyFill="1" applyAlignment="1">
      <alignment horizontal="left" indent="1"/>
    </xf>
    <xf numFmtId="0" fontId="6" fillId="0" borderId="1" xfId="16" applyFont="1" applyBorder="1" applyAlignment="1">
      <alignment horizontal="left" indent="1"/>
    </xf>
    <xf numFmtId="0" fontId="6" fillId="0" borderId="1" xfId="16" applyFont="1" applyBorder="1"/>
    <xf numFmtId="170" fontId="6" fillId="0" borderId="1" xfId="16" applyNumberFormat="1" applyFont="1" applyBorder="1"/>
    <xf numFmtId="170" fontId="6" fillId="15" borderId="39" xfId="16" applyNumberFormat="1" applyFont="1" applyFill="1" applyBorder="1"/>
    <xf numFmtId="170" fontId="6" fillId="15" borderId="1" xfId="16" applyNumberFormat="1" applyFont="1" applyFill="1" applyBorder="1"/>
    <xf numFmtId="0" fontId="6" fillId="0" borderId="0" xfId="16" applyFont="1" applyAlignment="1">
      <alignment horizontal="left" indent="1"/>
    </xf>
    <xf numFmtId="170" fontId="6" fillId="0" borderId="0" xfId="16" applyNumberFormat="1" applyFont="1"/>
    <xf numFmtId="170" fontId="6" fillId="15" borderId="40" xfId="16" applyNumberFormat="1" applyFont="1" applyFill="1" applyBorder="1"/>
    <xf numFmtId="0" fontId="1" fillId="15" borderId="41" xfId="16" applyFill="1" applyBorder="1"/>
    <xf numFmtId="170" fontId="6" fillId="15" borderId="41" xfId="16" applyNumberFormat="1" applyFont="1" applyFill="1" applyBorder="1"/>
    <xf numFmtId="0" fontId="1" fillId="15" borderId="42" xfId="16" applyFill="1" applyBorder="1"/>
    <xf numFmtId="0" fontId="24" fillId="0" borderId="0" xfId="16" applyFont="1"/>
    <xf numFmtId="0" fontId="6" fillId="8" borderId="0" xfId="16" applyFont="1" applyFill="1" applyAlignment="1">
      <alignment horizontal="left" indent="1"/>
    </xf>
    <xf numFmtId="0" fontId="24" fillId="8" borderId="0" xfId="16" applyFont="1" applyFill="1" applyAlignment="1">
      <alignment horizontal="left" indent="1"/>
    </xf>
    <xf numFmtId="164" fontId="24" fillId="8" borderId="0" xfId="16" applyNumberFormat="1" applyFont="1" applyFill="1" applyAlignment="1">
      <alignment horizontal="right"/>
    </xf>
    <xf numFmtId="10" fontId="24" fillId="8" borderId="0" xfId="17" applyNumberFormat="1" applyFont="1" applyFill="1" applyAlignment="1">
      <alignment horizontal="right"/>
    </xf>
    <xf numFmtId="164" fontId="13" fillId="8" borderId="0" xfId="16" applyNumberFormat="1" applyFont="1" applyFill="1"/>
    <xf numFmtId="179" fontId="15" fillId="8" borderId="0" xfId="16" applyNumberFormat="1" applyFont="1" applyFill="1"/>
    <xf numFmtId="165" fontId="5" fillId="2" borderId="0" xfId="16" applyNumberFormat="1" applyFont="1" applyFill="1" applyAlignment="1">
      <alignment horizontal="left" vertical="center" wrapText="1" indent="1"/>
    </xf>
    <xf numFmtId="0" fontId="5" fillId="2" borderId="0" xfId="16" applyFont="1" applyFill="1" applyAlignment="1">
      <alignment vertical="center" wrapText="1"/>
    </xf>
    <xf numFmtId="0" fontId="23" fillId="0" borderId="0" xfId="16" applyFont="1" applyAlignment="1">
      <alignment horizontal="left" indent="1"/>
    </xf>
    <xf numFmtId="164" fontId="23" fillId="0" borderId="0" xfId="16" applyNumberFormat="1" applyFont="1" applyAlignment="1">
      <alignment horizontal="right" wrapText="1" indent="1"/>
    </xf>
    <xf numFmtId="0" fontId="24" fillId="0" borderId="2" xfId="16" applyFont="1" applyBorder="1" applyAlignment="1">
      <alignment horizontal="left" indent="1"/>
    </xf>
    <xf numFmtId="0" fontId="24" fillId="0" borderId="2" xfId="16" applyFont="1" applyBorder="1"/>
    <xf numFmtId="164" fontId="24" fillId="0" borderId="2" xfId="16" applyNumberFormat="1" applyFont="1" applyBorder="1" applyAlignment="1">
      <alignment horizontal="right" wrapText="1" indent="1"/>
    </xf>
    <xf numFmtId="0" fontId="24" fillId="0" borderId="0" xfId="16" applyFont="1" applyAlignment="1">
      <alignment horizontal="left" indent="1"/>
    </xf>
    <xf numFmtId="164" fontId="24" fillId="0" borderId="0" xfId="16" applyNumberFormat="1" applyFont="1"/>
    <xf numFmtId="170" fontId="24" fillId="0" borderId="0" xfId="16" applyNumberFormat="1" applyFont="1"/>
    <xf numFmtId="0" fontId="6" fillId="3" borderId="0" xfId="16" applyFont="1" applyFill="1" applyAlignment="1">
      <alignment horizontal="left" vertical="center" indent="1"/>
    </xf>
    <xf numFmtId="168" fontId="6" fillId="3" borderId="0" xfId="16" applyNumberFormat="1" applyFont="1" applyFill="1" applyAlignment="1">
      <alignment vertical="center"/>
    </xf>
    <xf numFmtId="164" fontId="1" fillId="0" borderId="0" xfId="16" applyNumberFormat="1"/>
    <xf numFmtId="0" fontId="24" fillId="0" borderId="0" xfId="16" applyFont="1" applyAlignment="1">
      <alignment horizontal="left" vertical="center" indent="1"/>
    </xf>
    <xf numFmtId="168" fontId="24" fillId="0" borderId="0" xfId="16" applyNumberFormat="1" applyFont="1" applyAlignment="1">
      <alignment vertical="center"/>
    </xf>
    <xf numFmtId="179" fontId="1" fillId="0" borderId="0" xfId="16" applyNumberFormat="1"/>
    <xf numFmtId="179" fontId="1" fillId="0" borderId="0" xfId="16" applyNumberFormat="1" applyAlignment="1">
      <alignment vertical="center"/>
    </xf>
    <xf numFmtId="165" fontId="5" fillId="2" borderId="0" xfId="16" applyNumberFormat="1" applyFont="1" applyFill="1" applyAlignment="1">
      <alignment horizontal="left" vertical="center" indent="1"/>
    </xf>
    <xf numFmtId="178" fontId="1" fillId="0" borderId="0" xfId="16" applyNumberFormat="1"/>
    <xf numFmtId="179" fontId="6" fillId="0" borderId="1" xfId="16" applyNumberFormat="1" applyFont="1" applyBorder="1"/>
    <xf numFmtId="0" fontId="6" fillId="0" borderId="0" xfId="16" applyFont="1"/>
    <xf numFmtId="175" fontId="1" fillId="0" borderId="0" xfId="16" applyNumberFormat="1"/>
    <xf numFmtId="168" fontId="1" fillId="0" borderId="0" xfId="16" applyNumberFormat="1"/>
    <xf numFmtId="188" fontId="6" fillId="0" borderId="26" xfId="0" applyNumberFormat="1" applyFont="1" applyBorder="1" applyAlignment="1">
      <alignment vertical="center"/>
    </xf>
    <xf numFmtId="9" fontId="0" fillId="0" borderId="0" xfId="3" applyFont="1" applyBorder="1" applyAlignment="1">
      <alignment horizontal="right" vertical="center"/>
    </xf>
    <xf numFmtId="9" fontId="0" fillId="0" borderId="0" xfId="3" applyFont="1" applyBorder="1" applyAlignment="1">
      <alignment vertical="center"/>
    </xf>
    <xf numFmtId="168" fontId="0" fillId="0" borderId="0" xfId="0" applyNumberFormat="1" applyAlignment="1">
      <alignment horizontal="right" vertical="center"/>
    </xf>
    <xf numFmtId="0" fontId="5" fillId="0" borderId="0" xfId="0" applyFont="1" applyAlignment="1">
      <alignment horizontal="left" vertical="center"/>
    </xf>
    <xf numFmtId="168" fontId="0" fillId="0" borderId="3" xfId="0" applyNumberFormat="1" applyBorder="1" applyAlignment="1">
      <alignment horizontal="right" vertical="center"/>
    </xf>
    <xf numFmtId="2" fontId="15" fillId="0" borderId="0" xfId="0" applyNumberFormat="1" applyFont="1" applyAlignment="1">
      <alignment horizontal="right"/>
    </xf>
    <xf numFmtId="168" fontId="10" fillId="0" borderId="1" xfId="0" applyNumberFormat="1" applyFont="1" applyBorder="1" applyAlignment="1">
      <alignment horizontal="right"/>
    </xf>
    <xf numFmtId="183" fontId="0" fillId="0" borderId="0" xfId="0" applyNumberFormat="1" applyAlignment="1">
      <alignment vertical="center"/>
    </xf>
    <xf numFmtId="164" fontId="0" fillId="10" borderId="0" xfId="0" applyNumberFormat="1" applyFill="1" applyAlignment="1">
      <alignment vertical="center"/>
    </xf>
    <xf numFmtId="0" fontId="6" fillId="0" borderId="2" xfId="0" applyFont="1" applyBorder="1" applyAlignment="1">
      <alignment vertical="center"/>
    </xf>
    <xf numFmtId="168" fontId="8" fillId="0" borderId="2" xfId="0" applyNumberFormat="1" applyFont="1" applyBorder="1" applyAlignment="1">
      <alignment vertical="center"/>
    </xf>
    <xf numFmtId="9" fontId="8" fillId="0" borderId="2" xfId="3" applyFont="1" applyBorder="1" applyAlignment="1">
      <alignment vertical="center"/>
    </xf>
    <xf numFmtId="187" fontId="0" fillId="0" borderId="0" xfId="3" applyNumberFormat="1" applyFont="1" applyAlignment="1">
      <alignment horizontal="right" vertical="center"/>
    </xf>
    <xf numFmtId="187" fontId="0" fillId="0" borderId="0" xfId="3" applyNumberFormat="1" applyFont="1" applyAlignment="1">
      <alignment horizontal="right" vertical="center" indent="1"/>
    </xf>
    <xf numFmtId="166" fontId="13" fillId="0" borderId="2" xfId="0" applyNumberFormat="1" applyFont="1" applyBorder="1" applyAlignment="1">
      <alignment vertical="center"/>
    </xf>
    <xf numFmtId="168" fontId="0" fillId="0" borderId="2" xfId="0" applyNumberFormat="1" applyBorder="1" applyAlignment="1">
      <alignment vertical="center"/>
    </xf>
    <xf numFmtId="0" fontId="10" fillId="0" borderId="2" xfId="0" applyFont="1" applyBorder="1" applyAlignment="1">
      <alignment horizontal="left" vertical="center" indent="1"/>
    </xf>
    <xf numFmtId="0" fontId="6" fillId="0" borderId="2" xfId="0" applyFont="1" applyBorder="1"/>
    <xf numFmtId="190" fontId="6" fillId="0" borderId="0" xfId="0" applyNumberFormat="1" applyFont="1"/>
    <xf numFmtId="187" fontId="7" fillId="0" borderId="0" xfId="3" applyNumberFormat="1" applyFont="1" applyAlignment="1">
      <alignment vertical="center"/>
    </xf>
    <xf numFmtId="4" fontId="0" fillId="0" borderId="0" xfId="0" applyNumberFormat="1"/>
    <xf numFmtId="1" fontId="6" fillId="0" borderId="0" xfId="0" applyNumberFormat="1" applyFont="1"/>
    <xf numFmtId="3" fontId="0" fillId="0" borderId="0" xfId="0" applyNumberFormat="1"/>
    <xf numFmtId="3" fontId="0" fillId="0" borderId="2" xfId="0" applyNumberFormat="1" applyBorder="1"/>
    <xf numFmtId="172" fontId="0" fillId="0" borderId="0" xfId="0" applyNumberFormat="1"/>
    <xf numFmtId="172" fontId="0" fillId="0" borderId="2" xfId="0" applyNumberFormat="1" applyBorder="1"/>
    <xf numFmtId="190" fontId="13" fillId="0" borderId="0" xfId="3" applyNumberFormat="1" applyFont="1" applyAlignment="1">
      <alignment vertical="center"/>
    </xf>
    <xf numFmtId="190" fontId="13" fillId="0" borderId="2" xfId="3" applyNumberFormat="1" applyFont="1" applyBorder="1" applyAlignment="1">
      <alignment vertical="center"/>
    </xf>
    <xf numFmtId="190" fontId="13" fillId="0" borderId="0" xfId="3" applyNumberFormat="1" applyFont="1" applyBorder="1" applyAlignment="1">
      <alignment vertical="center"/>
    </xf>
    <xf numFmtId="187" fontId="0" fillId="0" borderId="0" xfId="3" applyNumberFormat="1" applyFont="1" applyBorder="1" applyAlignment="1">
      <alignment horizontal="right" vertical="center"/>
    </xf>
    <xf numFmtId="187" fontId="0" fillId="0" borderId="0" xfId="3" applyNumberFormat="1" applyFont="1" applyBorder="1" applyAlignment="1">
      <alignment vertical="center"/>
    </xf>
    <xf numFmtId="187" fontId="13" fillId="0" borderId="0" xfId="3" applyNumberFormat="1" applyFont="1" applyAlignment="1">
      <alignment vertical="center"/>
    </xf>
    <xf numFmtId="9" fontId="13" fillId="0" borderId="2" xfId="3" applyFont="1" applyBorder="1" applyAlignment="1">
      <alignment vertical="center"/>
    </xf>
    <xf numFmtId="175" fontId="6" fillId="10" borderId="0" xfId="13" applyNumberFormat="1" applyFont="1" applyFill="1"/>
    <xf numFmtId="185" fontId="13" fillId="0" borderId="2" xfId="13" applyNumberFormat="1" applyFont="1" applyBorder="1"/>
    <xf numFmtId="9" fontId="13" fillId="0" borderId="2" xfId="3" applyFont="1" applyBorder="1" applyAlignment="1"/>
    <xf numFmtId="188" fontId="13" fillId="0" borderId="0" xfId="0" applyNumberFormat="1" applyFont="1"/>
    <xf numFmtId="0" fontId="48" fillId="0" borderId="2" xfId="0" applyFont="1" applyBorder="1" applyAlignment="1">
      <alignment vertical="center"/>
    </xf>
    <xf numFmtId="0" fontId="49" fillId="0" borderId="2" xfId="0" applyFont="1" applyBorder="1" applyAlignment="1">
      <alignment horizontal="center" vertical="center"/>
    </xf>
    <xf numFmtId="0" fontId="49" fillId="0" borderId="0" xfId="0" applyFont="1"/>
    <xf numFmtId="0" fontId="49" fillId="0" borderId="0" xfId="0" applyFont="1" applyAlignment="1">
      <alignment horizontal="center"/>
    </xf>
    <xf numFmtId="9" fontId="49" fillId="0" borderId="0" xfId="3" applyFont="1" applyAlignment="1">
      <alignment horizontal="center"/>
    </xf>
    <xf numFmtId="0" fontId="50" fillId="0" borderId="0" xfId="0" applyFont="1"/>
    <xf numFmtId="190" fontId="49" fillId="0" borderId="0" xfId="0" applyNumberFormat="1" applyFont="1" applyAlignment="1">
      <alignment horizontal="center"/>
    </xf>
    <xf numFmtId="187" fontId="49" fillId="0" borderId="0" xfId="3" applyNumberFormat="1" applyFont="1" applyAlignment="1">
      <alignment horizontal="center"/>
    </xf>
    <xf numFmtId="185" fontId="13" fillId="0" borderId="0" xfId="13" applyNumberFormat="1" applyFont="1"/>
    <xf numFmtId="175" fontId="13" fillId="0" borderId="0" xfId="13" applyNumberFormat="1" applyFont="1"/>
    <xf numFmtId="175" fontId="13" fillId="0" borderId="32" xfId="13" applyNumberFormat="1" applyFont="1" applyBorder="1"/>
    <xf numFmtId="0" fontId="0" fillId="0" borderId="0" xfId="0" applyAlignment="1">
      <alignment horizontal="center"/>
    </xf>
    <xf numFmtId="0" fontId="6" fillId="10" borderId="0" xfId="0" applyFont="1" applyFill="1"/>
    <xf numFmtId="0" fontId="0" fillId="0" borderId="2" xfId="0" applyBorder="1" applyAlignment="1">
      <alignment horizontal="center"/>
    </xf>
    <xf numFmtId="193" fontId="0" fillId="0" borderId="0" xfId="0" applyNumberFormat="1" applyAlignment="1">
      <alignment horizontal="center"/>
    </xf>
    <xf numFmtId="195" fontId="0" fillId="0" borderId="0" xfId="0" applyNumberFormat="1" applyAlignment="1">
      <alignment horizontal="center"/>
    </xf>
    <xf numFmtId="44" fontId="0" fillId="0" borderId="0" xfId="12" applyFont="1" applyAlignment="1">
      <alignment horizontal="center"/>
    </xf>
    <xf numFmtId="193" fontId="6" fillId="10" borderId="0" xfId="0" applyNumberFormat="1" applyFont="1" applyFill="1"/>
    <xf numFmtId="179" fontId="15" fillId="0" borderId="0" xfId="0" applyNumberFormat="1" applyFont="1" applyAlignment="1">
      <alignment horizontal="center"/>
    </xf>
    <xf numFmtId="179" fontId="10" fillId="10" borderId="0" xfId="0" applyNumberFormat="1" applyFont="1" applyFill="1" applyAlignment="1">
      <alignment horizontal="center"/>
    </xf>
    <xf numFmtId="44" fontId="0" fillId="0" borderId="0" xfId="12" applyFont="1" applyBorder="1" applyAlignment="1">
      <alignment horizontal="center"/>
    </xf>
    <xf numFmtId="44" fontId="0" fillId="0" borderId="2" xfId="12" applyFont="1" applyBorder="1" applyAlignment="1">
      <alignment horizontal="center"/>
    </xf>
    <xf numFmtId="179" fontId="15" fillId="0" borderId="2" xfId="0" applyNumberFormat="1" applyFont="1" applyBorder="1" applyAlignment="1">
      <alignment horizontal="center"/>
    </xf>
    <xf numFmtId="175" fontId="13" fillId="0" borderId="6" xfId="13" applyNumberFormat="1" applyFont="1" applyBorder="1"/>
    <xf numFmtId="172" fontId="0" fillId="0" borderId="0" xfId="0" applyNumberFormat="1" applyAlignment="1">
      <alignment horizontal="center"/>
    </xf>
    <xf numFmtId="3" fontId="0" fillId="0" borderId="0" xfId="0" applyNumberFormat="1" applyAlignment="1">
      <alignment horizontal="center"/>
    </xf>
    <xf numFmtId="3" fontId="0" fillId="0" borderId="2" xfId="0" applyNumberFormat="1" applyBorder="1" applyAlignment="1">
      <alignment horizontal="center"/>
    </xf>
    <xf numFmtId="0" fontId="7" fillId="0" borderId="0" xfId="0" applyFont="1" applyAlignment="1">
      <alignment horizontal="center"/>
    </xf>
    <xf numFmtId="187" fontId="7" fillId="0" borderId="0" xfId="3" applyNumberFormat="1" applyFont="1" applyAlignment="1">
      <alignment horizontal="center" vertical="center"/>
    </xf>
    <xf numFmtId="2" fontId="0" fillId="0" borderId="2" xfId="0" applyNumberFormat="1" applyBorder="1" applyAlignment="1">
      <alignment horizontal="center"/>
    </xf>
    <xf numFmtId="190" fontId="0" fillId="0" borderId="0" xfId="0" applyNumberFormat="1" applyAlignment="1">
      <alignment horizontal="center"/>
    </xf>
    <xf numFmtId="0" fontId="6" fillId="10" borderId="0" xfId="0" applyFont="1" applyFill="1" applyAlignment="1">
      <alignment vertical="center"/>
    </xf>
    <xf numFmtId="2" fontId="6" fillId="10" borderId="0" xfId="0" applyNumberFormat="1" applyFont="1" applyFill="1" applyAlignment="1">
      <alignment horizontal="center" vertical="center"/>
    </xf>
    <xf numFmtId="3" fontId="6" fillId="10" borderId="0" xfId="0" applyNumberFormat="1" applyFont="1" applyFill="1" applyAlignment="1">
      <alignment horizontal="center" vertical="center"/>
    </xf>
    <xf numFmtId="9" fontId="0" fillId="0" borderId="0" xfId="3" applyFont="1" applyBorder="1"/>
    <xf numFmtId="1" fontId="0" fillId="0" borderId="0" xfId="0" applyNumberFormat="1"/>
    <xf numFmtId="2" fontId="0" fillId="0" borderId="0" xfId="0" applyNumberFormat="1"/>
    <xf numFmtId="0" fontId="52" fillId="0" borderId="0" xfId="0" quotePrefix="1" applyFont="1"/>
    <xf numFmtId="0" fontId="0" fillId="19" borderId="0" xfId="0" applyFill="1"/>
    <xf numFmtId="0" fontId="45" fillId="19" borderId="0" xfId="0" applyFont="1" applyFill="1" applyAlignment="1">
      <alignment horizontal="left" vertical="center" indent="1"/>
    </xf>
    <xf numFmtId="0" fontId="0" fillId="19" borderId="0" xfId="0" applyFill="1" applyAlignment="1">
      <alignment vertical="center"/>
    </xf>
    <xf numFmtId="164" fontId="12" fillId="19" borderId="0" xfId="0" applyNumberFormat="1" applyFont="1" applyFill="1" applyAlignment="1">
      <alignment horizontal="left" vertical="center" indent="1"/>
    </xf>
    <xf numFmtId="164" fontId="5" fillId="19" borderId="0" xfId="0" applyNumberFormat="1" applyFont="1" applyFill="1" applyAlignment="1">
      <alignment horizontal="left" vertical="center" indent="1"/>
    </xf>
    <xf numFmtId="164" fontId="5" fillId="19" borderId="0" xfId="0" applyNumberFormat="1" applyFont="1" applyFill="1" applyAlignment="1">
      <alignment horizontal="right" vertical="center"/>
    </xf>
    <xf numFmtId="164" fontId="12" fillId="19" borderId="0" xfId="0" applyNumberFormat="1" applyFont="1" applyFill="1" applyAlignment="1">
      <alignment horizontal="right" vertical="center"/>
    </xf>
    <xf numFmtId="181" fontId="5" fillId="19" borderId="3" xfId="0" applyNumberFormat="1" applyFont="1" applyFill="1" applyBorder="1" applyAlignment="1">
      <alignment horizontal="right" vertical="center"/>
    </xf>
    <xf numFmtId="181" fontId="5" fillId="19" borderId="0" xfId="0" applyNumberFormat="1" applyFont="1" applyFill="1" applyAlignment="1">
      <alignment horizontal="right" vertical="center"/>
    </xf>
    <xf numFmtId="0" fontId="5" fillId="19" borderId="0" xfId="0" applyFont="1" applyFill="1" applyAlignment="1">
      <alignment horizontal="left" vertical="center" indent="1"/>
    </xf>
    <xf numFmtId="0" fontId="5" fillId="19" borderId="0" xfId="0" applyFont="1" applyFill="1" applyAlignment="1">
      <alignment horizontal="left" vertical="center"/>
    </xf>
    <xf numFmtId="0" fontId="14" fillId="0" borderId="0" xfId="0" applyFont="1" applyAlignment="1">
      <alignment horizontal="left" vertical="center" indent="1"/>
    </xf>
    <xf numFmtId="0" fontId="12" fillId="19" borderId="0" xfId="0" applyFont="1" applyFill="1" applyAlignment="1">
      <alignment horizontal="left" vertical="center" indent="1"/>
    </xf>
    <xf numFmtId="0" fontId="40" fillId="19" borderId="0" xfId="0" applyFont="1" applyFill="1" applyAlignment="1">
      <alignment vertical="center"/>
    </xf>
    <xf numFmtId="1" fontId="5" fillId="19" borderId="3" xfId="0" applyNumberFormat="1" applyFont="1" applyFill="1" applyBorder="1" applyAlignment="1">
      <alignment horizontal="right" vertical="center"/>
    </xf>
    <xf numFmtId="1" fontId="5" fillId="19" borderId="0" xfId="0" applyNumberFormat="1" applyFont="1" applyFill="1" applyAlignment="1">
      <alignment horizontal="right" vertical="center"/>
    </xf>
    <xf numFmtId="0" fontId="53" fillId="0" borderId="0" xfId="0" applyFont="1" applyAlignment="1">
      <alignment horizontal="left" vertical="center" indent="1"/>
    </xf>
    <xf numFmtId="0" fontId="5" fillId="19" borderId="0" xfId="13" applyFont="1" applyFill="1" applyAlignment="1">
      <alignment horizontal="right" vertical="center" wrapText="1"/>
    </xf>
    <xf numFmtId="0" fontId="40" fillId="19" borderId="0" xfId="13" applyFont="1" applyFill="1" applyAlignment="1">
      <alignment horizontal="left" vertical="center" wrapText="1"/>
    </xf>
    <xf numFmtId="0" fontId="41" fillId="19" borderId="2" xfId="13" applyFont="1" applyFill="1" applyBorder="1" applyAlignment="1">
      <alignment vertical="center" wrapText="1"/>
    </xf>
    <xf numFmtId="0" fontId="41" fillId="19" borderId="2" xfId="13" applyFont="1" applyFill="1" applyBorder="1" applyAlignment="1">
      <alignment horizontal="center" vertical="center" wrapText="1"/>
    </xf>
    <xf numFmtId="165" fontId="41" fillId="19" borderId="2" xfId="13" applyNumberFormat="1" applyFont="1" applyFill="1" applyBorder="1" applyAlignment="1">
      <alignment horizontal="center" vertical="center" wrapText="1"/>
    </xf>
    <xf numFmtId="0" fontId="5" fillId="19" borderId="2" xfId="13" applyFont="1" applyFill="1" applyBorder="1" applyAlignment="1">
      <alignment horizontal="left" vertical="center" wrapText="1"/>
    </xf>
    <xf numFmtId="165" fontId="12" fillId="19" borderId="2" xfId="13" applyNumberFormat="1" applyFont="1" applyFill="1" applyBorder="1" applyAlignment="1">
      <alignment horizontal="center" vertical="center" wrapText="1"/>
    </xf>
    <xf numFmtId="0" fontId="40" fillId="19" borderId="0" xfId="13" applyFont="1" applyFill="1" applyAlignment="1">
      <alignment horizontal="left" vertical="center"/>
    </xf>
    <xf numFmtId="184" fontId="5" fillId="19" borderId="0" xfId="0" applyNumberFormat="1" applyFont="1" applyFill="1" applyAlignment="1">
      <alignment vertical="center"/>
    </xf>
    <xf numFmtId="165" fontId="12" fillId="19" borderId="0" xfId="0" applyNumberFormat="1" applyFont="1" applyFill="1" applyAlignment="1">
      <alignment horizontal="right" vertical="center"/>
    </xf>
    <xf numFmtId="0" fontId="54" fillId="0" borderId="0" xfId="0" applyFont="1" applyAlignment="1">
      <alignment horizontal="left" vertical="center" indent="1"/>
    </xf>
    <xf numFmtId="166" fontId="5" fillId="19" borderId="12" xfId="0" applyNumberFormat="1" applyFont="1" applyFill="1" applyBorder="1" applyAlignment="1">
      <alignment vertical="center"/>
    </xf>
    <xf numFmtId="0" fontId="43" fillId="20" borderId="0" xfId="0" applyFont="1" applyFill="1"/>
    <xf numFmtId="0" fontId="44" fillId="20" borderId="0" xfId="0" applyFont="1" applyFill="1"/>
    <xf numFmtId="0" fontId="6" fillId="19" borderId="0" xfId="0" applyFont="1" applyFill="1" applyAlignment="1">
      <alignment horizontal="left" vertical="center" indent="1"/>
    </xf>
    <xf numFmtId="165" fontId="0" fillId="19" borderId="0" xfId="0" applyNumberFormat="1" applyFill="1" applyAlignment="1">
      <alignment horizontal="right" vertical="center"/>
    </xf>
    <xf numFmtId="181" fontId="6" fillId="19" borderId="0" xfId="0" applyNumberFormat="1" applyFont="1" applyFill="1" applyAlignment="1">
      <alignment horizontal="right" vertical="center"/>
    </xf>
    <xf numFmtId="165" fontId="12" fillId="19" borderId="0" xfId="0" applyNumberFormat="1" applyFont="1" applyFill="1" applyAlignment="1">
      <alignment horizontal="left" vertical="center" wrapText="1" indent="1"/>
    </xf>
    <xf numFmtId="0" fontId="5" fillId="19" borderId="0" xfId="0" applyFont="1" applyFill="1" applyAlignment="1">
      <alignment horizontal="left" vertical="center" wrapText="1" indent="1"/>
    </xf>
    <xf numFmtId="0" fontId="5" fillId="19" borderId="0" xfId="0" applyFont="1" applyFill="1" applyAlignment="1">
      <alignment horizontal="right" vertical="center" wrapText="1" indent="1"/>
    </xf>
    <xf numFmtId="0" fontId="5" fillId="19" borderId="0" xfId="0" applyFont="1" applyFill="1" applyAlignment="1">
      <alignment horizontal="center" vertical="center" wrapText="1"/>
    </xf>
    <xf numFmtId="165" fontId="5" fillId="19" borderId="0" xfId="0" applyNumberFormat="1" applyFont="1" applyFill="1" applyAlignment="1">
      <alignment horizontal="left" vertical="center" wrapText="1" indent="1"/>
    </xf>
    <xf numFmtId="165" fontId="5" fillId="19" borderId="0" xfId="0" applyNumberFormat="1" applyFont="1" applyFill="1" applyAlignment="1">
      <alignment horizontal="left" vertical="center" indent="1"/>
    </xf>
    <xf numFmtId="165" fontId="5" fillId="19" borderId="0" xfId="0" applyNumberFormat="1" applyFont="1" applyFill="1" applyAlignment="1">
      <alignment horizontal="center" vertical="center" wrapText="1"/>
    </xf>
    <xf numFmtId="165" fontId="5" fillId="19" borderId="0" xfId="0" applyNumberFormat="1" applyFont="1" applyFill="1" applyAlignment="1">
      <alignment horizontal="center" vertical="center"/>
    </xf>
    <xf numFmtId="0" fontId="55" fillId="0" borderId="0" xfId="0" quotePrefix="1" applyFont="1"/>
    <xf numFmtId="0" fontId="56" fillId="0" borderId="0" xfId="0" applyFont="1"/>
    <xf numFmtId="0" fontId="6" fillId="0" borderId="0" xfId="0" applyFont="1" applyAlignment="1">
      <alignment horizontal="center"/>
    </xf>
    <xf numFmtId="0" fontId="0" fillId="21" borderId="0" xfId="0" applyFill="1"/>
    <xf numFmtId="164" fontId="10" fillId="0" borderId="0" xfId="0" applyNumberFormat="1" applyFont="1" applyAlignment="1">
      <alignment horizontal="right" vertical="center" wrapText="1" indent="1"/>
    </xf>
    <xf numFmtId="166" fontId="10" fillId="10" borderId="23" xfId="0" applyNumberFormat="1" applyFont="1" applyFill="1" applyBorder="1" applyAlignment="1">
      <alignment horizontal="center" vertical="center" textRotation="90"/>
    </xf>
    <xf numFmtId="166" fontId="10" fillId="10" borderId="24" xfId="0" applyNumberFormat="1" applyFont="1" applyFill="1" applyBorder="1" applyAlignment="1">
      <alignment horizontal="center" vertical="center" textRotation="90"/>
    </xf>
    <xf numFmtId="165" fontId="5" fillId="19" borderId="43" xfId="0" applyNumberFormat="1" applyFont="1" applyFill="1" applyBorder="1" applyAlignment="1">
      <alignment horizontal="center" vertical="center"/>
    </xf>
    <xf numFmtId="0" fontId="6" fillId="0" borderId="0" xfId="0" applyFont="1" applyAlignment="1">
      <alignment horizontal="center"/>
    </xf>
    <xf numFmtId="165" fontId="5" fillId="19" borderId="0" xfId="0" applyNumberFormat="1" applyFont="1" applyFill="1" applyAlignment="1">
      <alignment horizontal="center" vertical="center"/>
    </xf>
  </cellXfs>
  <cellStyles count="18">
    <cellStyle name="=C:\WINNT35\SYSTEM32\COMMAND.COM 2" xfId="2" xr:uid="{00000000-0005-0000-0000-000000000000}"/>
    <cellStyle name="Comma 3" xfId="9" xr:uid="{00000000-0005-0000-0000-000001000000}"/>
    <cellStyle name="Currency" xfId="12" builtinId="4"/>
    <cellStyle name="Currency 2" xfId="15" xr:uid="{3796D083-0D5F-43A1-8246-FFB7054EE965}"/>
    <cellStyle name="Normal" xfId="0" builtinId="0"/>
    <cellStyle name="Normal 12" xfId="10" xr:uid="{00000000-0005-0000-0000-000002000000}"/>
    <cellStyle name="Normal 2" xfId="1" xr:uid="{00000000-0005-0000-0000-000003000000}"/>
    <cellStyle name="Normal 2 2" xfId="5" xr:uid="{00000000-0005-0000-0000-000004000000}"/>
    <cellStyle name="Normal 3" xfId="4" xr:uid="{00000000-0005-0000-0000-000005000000}"/>
    <cellStyle name="Normal 4" xfId="11" xr:uid="{DB032425-3D25-40A1-A7E7-EB95E53E3E74}"/>
    <cellStyle name="Normal 5" xfId="13" xr:uid="{E360212A-B6B5-4BB7-AB01-46D317DECAD4}"/>
    <cellStyle name="Normal 6" xfId="16" xr:uid="{E99D2982-8311-460B-88AB-FB4F7B634F0E}"/>
    <cellStyle name="Percent" xfId="3" builtinId="5"/>
    <cellStyle name="Percent 2" xfId="7" xr:uid="{00000000-0005-0000-0000-000007000000}"/>
    <cellStyle name="Percent 3" xfId="14" xr:uid="{23E725AE-6D16-4170-84F8-E442BEF3DC7E}"/>
    <cellStyle name="Percent 4" xfId="17" xr:uid="{08955DF0-6A19-4015-924E-F4AA0A2CE927}"/>
    <cellStyle name="Style 1 2" xfId="6" xr:uid="{00000000-0005-0000-0000-000009000000}"/>
    <cellStyle name="Table Units" xfId="8" xr:uid="{00000000-0005-0000-0000-00000A000000}"/>
  </cellStyles>
  <dxfs count="1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patternType="none">
          <bgColor auto="1"/>
        </patternFill>
      </fill>
    </dxf>
    <dxf>
      <font>
        <color rgb="FF9C0006"/>
      </font>
      <fill>
        <patternFill>
          <bgColor rgb="FFFFC7CE"/>
        </patternFill>
      </fill>
    </dxf>
    <dxf>
      <font>
        <color rgb="FF006100"/>
      </font>
      <fill>
        <patternFill patternType="none">
          <bgColor auto="1"/>
        </patternFill>
      </fill>
    </dxf>
    <dxf>
      <font>
        <color rgb="FF9C0006"/>
      </font>
      <fill>
        <patternFill>
          <bgColor rgb="FFFFC7CE"/>
        </patternFill>
      </fill>
    </dxf>
    <dxf>
      <font>
        <color rgb="FF006100"/>
      </font>
      <fill>
        <patternFill patternType="none">
          <bgColor auto="1"/>
        </patternFill>
      </fill>
    </dxf>
    <dxf>
      <font>
        <color rgb="FF9C0006"/>
      </font>
      <fill>
        <patternFill>
          <bgColor rgb="FFFFC7CE"/>
        </patternFill>
      </fill>
    </dxf>
    <dxf>
      <font>
        <color rgb="FF006100"/>
      </font>
      <fill>
        <patternFill patternType="none">
          <bgColor auto="1"/>
        </patternFill>
      </fill>
    </dxf>
    <dxf>
      <font>
        <color rgb="FF9C0006"/>
      </font>
      <fill>
        <patternFill>
          <bgColor rgb="FFFFC7CE"/>
        </patternFill>
      </fill>
    </dxf>
  </dxfs>
  <tableStyles count="0" defaultTableStyle="TableStyleMedium2" defaultPivotStyle="PivotStyleLight16"/>
  <colors>
    <mruColors>
      <color rgb="FFCC9B00"/>
      <color rgb="FF3333CC"/>
      <color rgb="FFFEF4CE"/>
      <color rgb="FFFFFF99"/>
      <color rgb="FFFF7575"/>
      <color rgb="FFEB1923"/>
      <color rgb="FFE2F3FA"/>
      <color rgb="FF00B050"/>
      <color rgb="FF002776"/>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ichStyles" Target="richData/rich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microsoft.com/office/2017/06/relationships/rdRichValueStructure" Target="richData/rdrichvaluestructure.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SupportingPropertyBag" Target="richData/rdsupporting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microsoft.com/office/2017/06/relationships/rdRichValue" Target="richData/rdrichvalue.xml"/><Relationship Id="rId30" Type="http://schemas.microsoft.com/office/2017/06/relationships/rdSupportingPropertyBagStructure" Target="richData/rdsupportingpropertybagstructure.xml"/><Relationship Id="rId35" Type="http://schemas.openxmlformats.org/officeDocument/2006/relationships/customXml" Target="../customXml/item2.xml"/><Relationship Id="rId8" Type="http://schemas.openxmlformats.org/officeDocument/2006/relationships/worksheet" Target="worksheets/sheet8.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b="1"/>
              <a:t>Valuation Football Field</a:t>
            </a:r>
          </a:p>
        </c:rich>
      </c:tx>
      <c:layout>
        <c:manualLayout>
          <c:xMode val="edge"/>
          <c:yMode val="edge"/>
          <c:x val="6.5085387691024607E-2"/>
          <c:y val="4.5766590389016017E-2"/>
        </c:manualLayout>
      </c:layout>
      <c:overlay val="0"/>
      <c:spPr>
        <a:noFill/>
        <a:ln>
          <a:noFill/>
        </a:ln>
        <a:effectLst/>
      </c:spPr>
    </c:title>
    <c:autoTitleDeleted val="0"/>
    <c:plotArea>
      <c:layout>
        <c:manualLayout>
          <c:layoutTarget val="inner"/>
          <c:xMode val="edge"/>
          <c:yMode val="edge"/>
          <c:x val="0.23335513830002019"/>
          <c:y val="0.15759259259259256"/>
          <c:w val="0.72220041725553541"/>
          <c:h val="0.7473994126020288"/>
        </c:manualLayout>
      </c:layout>
      <c:barChart>
        <c:barDir val="bar"/>
        <c:grouping val="stacked"/>
        <c:varyColors val="0"/>
        <c:ser>
          <c:idx val="0"/>
          <c:order val="0"/>
          <c:spPr>
            <a:noFill/>
            <a:ln w="25400">
              <a:noFill/>
            </a:ln>
            <a:effectLst/>
          </c:spPr>
          <c:invertIfNegative val="0"/>
          <c:dLbls>
            <c:numFmt formatCode="#,##0" sourceLinked="0"/>
            <c:spPr>
              <a:noFill/>
              <a:ln>
                <a:noFill/>
              </a:ln>
              <a:effectLst/>
            </c:spPr>
            <c:txPr>
              <a:bodyPr wrap="square" lIns="38100" tIns="19050" rIns="38100" bIns="19050" anchor="ctr">
                <a:spAutoFit/>
              </a:bodyPr>
              <a:lstStyle/>
              <a:p>
                <a:pPr>
                  <a:defRPr b="1"/>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FootballField!$B$36:$H$36</c:f>
              <c:strCache>
                <c:ptCount val="7"/>
                <c:pt idx="0">
                  <c:v>P/E  F  </c:v>
                </c:pt>
                <c:pt idx="1">
                  <c:v>P/E  A  </c:v>
                </c:pt>
                <c:pt idx="2">
                  <c:v>EV / EBIT F  </c:v>
                </c:pt>
                <c:pt idx="3">
                  <c:v>EV / EBIT A  </c:v>
                </c:pt>
                <c:pt idx="4">
                  <c:v>EV / EBITDA F  </c:v>
                </c:pt>
                <c:pt idx="5">
                  <c:v>EV / EBITDA A  </c:v>
                </c:pt>
                <c:pt idx="6">
                  <c:v>DCF asset</c:v>
                </c:pt>
              </c:strCache>
            </c:strRef>
          </c:cat>
          <c:val>
            <c:numRef>
              <c:f>FootballField!$B$37:$H$37</c:f>
              <c:numCache>
                <c:formatCode>#,##0.0_)_);\(#,##0.0\)_);\-_)_);@_)_)</c:formatCode>
                <c:ptCount val="7"/>
                <c:pt idx="0">
                  <c:v>18349.335838584888</c:v>
                </c:pt>
                <c:pt idx="1">
                  <c:v>18684.796670223503</c:v>
                </c:pt>
                <c:pt idx="2">
                  <c:v>17925.293776047922</c:v>
                </c:pt>
                <c:pt idx="3">
                  <c:v>15577.908307622945</c:v>
                </c:pt>
                <c:pt idx="4">
                  <c:v>13314.626064979588</c:v>
                </c:pt>
                <c:pt idx="5">
                  <c:v>9974.1541571157595</c:v>
                </c:pt>
                <c:pt idx="6">
                  <c:v>12002.063600768692</c:v>
                </c:pt>
              </c:numCache>
            </c:numRef>
          </c:val>
          <c:extLst>
            <c:ext xmlns:c16="http://schemas.microsoft.com/office/drawing/2014/chart" uri="{C3380CC4-5D6E-409C-BE32-E72D297353CC}">
              <c16:uniqueId val="{0000001E-ACA5-4459-80AA-4FF590286677}"/>
            </c:ext>
          </c:extLst>
        </c:ser>
        <c:ser>
          <c:idx val="2"/>
          <c:order val="1"/>
          <c:spPr>
            <a:solidFill>
              <a:srgbClr val="FFC000">
                <a:alpha val="40000"/>
              </a:srgbClr>
            </a:solidFill>
            <a:ln>
              <a:solidFill>
                <a:srgbClr val="002776"/>
              </a:solidFill>
              <a:prstDash val="solid"/>
            </a:ln>
            <a:effectLst/>
          </c:spPr>
          <c:invertIfNegative val="0"/>
          <c:dPt>
            <c:idx val="0"/>
            <c:invertIfNegative val="0"/>
            <c:bubble3D val="0"/>
            <c:extLst>
              <c:ext xmlns:c16="http://schemas.microsoft.com/office/drawing/2014/chart" uri="{C3380CC4-5D6E-409C-BE32-E72D297353CC}">
                <c16:uniqueId val="{00000001-9913-4AA5-948A-A16DCAA38CF6}"/>
              </c:ext>
            </c:extLst>
          </c:dPt>
          <c:dPt>
            <c:idx val="1"/>
            <c:invertIfNegative val="0"/>
            <c:bubble3D val="0"/>
            <c:extLst>
              <c:ext xmlns:c16="http://schemas.microsoft.com/office/drawing/2014/chart" uri="{C3380CC4-5D6E-409C-BE32-E72D297353CC}">
                <c16:uniqueId val="{00000003-9913-4AA5-948A-A16DCAA38CF6}"/>
              </c:ext>
            </c:extLst>
          </c:dPt>
          <c:dPt>
            <c:idx val="2"/>
            <c:invertIfNegative val="0"/>
            <c:bubble3D val="0"/>
            <c:extLst>
              <c:ext xmlns:c16="http://schemas.microsoft.com/office/drawing/2014/chart" uri="{C3380CC4-5D6E-409C-BE32-E72D297353CC}">
                <c16:uniqueId val="{00000005-9913-4AA5-948A-A16DCAA38CF6}"/>
              </c:ext>
            </c:extLst>
          </c:dPt>
          <c:dPt>
            <c:idx val="3"/>
            <c:invertIfNegative val="0"/>
            <c:bubble3D val="0"/>
            <c:extLst>
              <c:ext xmlns:c16="http://schemas.microsoft.com/office/drawing/2014/chart" uri="{C3380CC4-5D6E-409C-BE32-E72D297353CC}">
                <c16:uniqueId val="{00000007-9913-4AA5-948A-A16DCAA38CF6}"/>
              </c:ext>
            </c:extLst>
          </c:dPt>
          <c:dPt>
            <c:idx val="4"/>
            <c:invertIfNegative val="0"/>
            <c:bubble3D val="0"/>
            <c:extLst>
              <c:ext xmlns:c16="http://schemas.microsoft.com/office/drawing/2014/chart" uri="{C3380CC4-5D6E-409C-BE32-E72D297353CC}">
                <c16:uniqueId val="{00000009-9913-4AA5-948A-A16DCAA38CF6}"/>
              </c:ext>
            </c:extLst>
          </c:dPt>
          <c:dPt>
            <c:idx val="5"/>
            <c:invertIfNegative val="0"/>
            <c:bubble3D val="0"/>
            <c:extLst>
              <c:ext xmlns:c16="http://schemas.microsoft.com/office/drawing/2014/chart" uri="{C3380CC4-5D6E-409C-BE32-E72D297353CC}">
                <c16:uniqueId val="{0000000B-9913-4AA5-948A-A16DCAA38CF6}"/>
              </c:ext>
            </c:extLst>
          </c:dPt>
          <c:dPt>
            <c:idx val="6"/>
            <c:invertIfNegative val="0"/>
            <c:bubble3D val="0"/>
            <c:extLst>
              <c:ext xmlns:c16="http://schemas.microsoft.com/office/drawing/2014/chart" uri="{C3380CC4-5D6E-409C-BE32-E72D297353CC}">
                <c16:uniqueId val="{0000000D-0E94-437A-B9D6-F691E8CF6E64}"/>
              </c:ext>
            </c:extLst>
          </c:dPt>
          <c:cat>
            <c:strRef>
              <c:f>FootballField!$B$36:$H$36</c:f>
              <c:strCache>
                <c:ptCount val="7"/>
                <c:pt idx="0">
                  <c:v>P/E  F  </c:v>
                </c:pt>
                <c:pt idx="1">
                  <c:v>P/E  A  </c:v>
                </c:pt>
                <c:pt idx="2">
                  <c:v>EV / EBIT F  </c:v>
                </c:pt>
                <c:pt idx="3">
                  <c:v>EV / EBIT A  </c:v>
                </c:pt>
                <c:pt idx="4">
                  <c:v>EV / EBITDA F  </c:v>
                </c:pt>
                <c:pt idx="5">
                  <c:v>EV / EBITDA A  </c:v>
                </c:pt>
                <c:pt idx="6">
                  <c:v>DCF asset</c:v>
                </c:pt>
              </c:strCache>
            </c:strRef>
          </c:cat>
          <c:val>
            <c:numRef>
              <c:f>FootballField!$B$39:$H$39</c:f>
              <c:numCache>
                <c:formatCode>#,##0.0_)_);\(#,##0.0\)_);\-_)_);@_)_)</c:formatCode>
                <c:ptCount val="7"/>
                <c:pt idx="0">
                  <c:v>8159.3554610866158</c:v>
                </c:pt>
                <c:pt idx="1">
                  <c:v>502.65646073008247</c:v>
                </c:pt>
                <c:pt idx="2">
                  <c:v>3837.9438670278978</c:v>
                </c:pt>
                <c:pt idx="3">
                  <c:v>1184.2636640573637</c:v>
                </c:pt>
                <c:pt idx="4">
                  <c:v>470.62985866689087</c:v>
                </c:pt>
                <c:pt idx="5">
                  <c:v>1219.0009344135033</c:v>
                </c:pt>
                <c:pt idx="6">
                  <c:v>4047.5402588357247</c:v>
                </c:pt>
              </c:numCache>
            </c:numRef>
          </c:val>
          <c:extLst>
            <c:ext xmlns:c16="http://schemas.microsoft.com/office/drawing/2014/chart" uri="{C3380CC4-5D6E-409C-BE32-E72D297353CC}">
              <c16:uniqueId val="{00000022-ACA5-4459-80AA-4FF590286677}"/>
            </c:ext>
          </c:extLst>
        </c:ser>
        <c:ser>
          <c:idx val="1"/>
          <c:order val="2"/>
          <c:spPr>
            <a:noFill/>
            <a:ln w="25400">
              <a:noFill/>
            </a:ln>
            <a:effectLst/>
          </c:spPr>
          <c:invertIfNegative val="0"/>
          <c:dLbls>
            <c:numFmt formatCode="#,##0" sourceLinked="0"/>
            <c:spPr>
              <a:noFill/>
              <a:ln>
                <a:noFill/>
              </a:ln>
              <a:effectLst/>
            </c:spPr>
            <c:txPr>
              <a:bodyPr wrap="square" lIns="38100" tIns="19050" rIns="38100" bIns="19050" anchor="ctr">
                <a:spAutoFit/>
              </a:bodyPr>
              <a:lstStyle/>
              <a:p>
                <a:pPr>
                  <a:defRPr b="1"/>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FootballField!$B$36:$H$36</c:f>
              <c:strCache>
                <c:ptCount val="7"/>
                <c:pt idx="0">
                  <c:v>P/E  F  </c:v>
                </c:pt>
                <c:pt idx="1">
                  <c:v>P/E  A  </c:v>
                </c:pt>
                <c:pt idx="2">
                  <c:v>EV / EBIT F  </c:v>
                </c:pt>
                <c:pt idx="3">
                  <c:v>EV / EBIT A  </c:v>
                </c:pt>
                <c:pt idx="4">
                  <c:v>EV / EBITDA F  </c:v>
                </c:pt>
                <c:pt idx="5">
                  <c:v>EV / EBITDA A  </c:v>
                </c:pt>
                <c:pt idx="6">
                  <c:v>DCF asset</c:v>
                </c:pt>
              </c:strCache>
            </c:strRef>
          </c:cat>
          <c:val>
            <c:numRef>
              <c:f>FootballField!$B$38:$H$38</c:f>
              <c:numCache>
                <c:formatCode>#,##0.0_)_);\(#,##0.0\)_);\-_)_);@_)_)</c:formatCode>
                <c:ptCount val="7"/>
                <c:pt idx="0">
                  <c:v>26508.691299671504</c:v>
                </c:pt>
                <c:pt idx="1">
                  <c:v>19187.453130953585</c:v>
                </c:pt>
                <c:pt idx="2">
                  <c:v>21763.23764307582</c:v>
                </c:pt>
                <c:pt idx="3">
                  <c:v>16762.171971680309</c:v>
                </c:pt>
                <c:pt idx="4">
                  <c:v>13785.255923646479</c:v>
                </c:pt>
                <c:pt idx="5">
                  <c:v>11193.155091529263</c:v>
                </c:pt>
                <c:pt idx="6">
                  <c:v>16049.603859604416</c:v>
                </c:pt>
              </c:numCache>
            </c:numRef>
          </c:val>
          <c:extLst>
            <c:ext xmlns:c16="http://schemas.microsoft.com/office/drawing/2014/chart" uri="{C3380CC4-5D6E-409C-BE32-E72D297353CC}">
              <c16:uniqueId val="{00000020-ACA5-4459-80AA-4FF590286677}"/>
            </c:ext>
          </c:extLst>
        </c:ser>
        <c:dLbls>
          <c:showLegendKey val="0"/>
          <c:showVal val="0"/>
          <c:showCatName val="0"/>
          <c:showSerName val="0"/>
          <c:showPercent val="0"/>
          <c:showBubbleSize val="0"/>
        </c:dLbls>
        <c:gapWidth val="55"/>
        <c:overlap val="100"/>
        <c:axId val="-951776688"/>
        <c:axId val="-951784848"/>
      </c:barChart>
      <c:catAx>
        <c:axId val="-9517766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951784848"/>
        <c:crosses val="autoZero"/>
        <c:auto val="1"/>
        <c:lblAlgn val="ctr"/>
        <c:lblOffset val="100"/>
        <c:noMultiLvlLbl val="0"/>
      </c:catAx>
      <c:valAx>
        <c:axId val="-951784848"/>
        <c:scaling>
          <c:orientation val="minMax"/>
          <c:max val="30000"/>
          <c:min val="5000"/>
        </c:scaling>
        <c:delete val="0"/>
        <c:axPos val="b"/>
        <c:numFmt formatCode="#,##0" sourceLinked="0"/>
        <c:majorTickMark val="in"/>
        <c:minorTickMark val="in"/>
        <c:tickLblPos val="nextTo"/>
        <c:spPr>
          <a:noFill/>
          <a:ln>
            <a:solidFill>
              <a:srgbClr val="D9D9D9"/>
            </a:solidFill>
            <a:prstDash val="solid"/>
          </a:ln>
        </c:spPr>
        <c:txPr>
          <a:bodyPr/>
          <a:lstStyle/>
          <a:p>
            <a:pPr>
              <a:defRPr>
                <a:solidFill>
                  <a:srgbClr val="000000"/>
                </a:solidFill>
              </a:defRPr>
            </a:pPr>
            <a:endParaRPr lang="en-US"/>
          </a:p>
        </c:txPr>
        <c:crossAx val="-9517766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b="1"/>
              <a:t>Valuation Football Field</a:t>
            </a:r>
          </a:p>
        </c:rich>
      </c:tx>
      <c:layout>
        <c:manualLayout>
          <c:xMode val="edge"/>
          <c:yMode val="edge"/>
          <c:x val="6.5085387691024607E-2"/>
          <c:y val="4.5766590389016017E-2"/>
        </c:manualLayout>
      </c:layout>
      <c:overlay val="0"/>
      <c:spPr>
        <a:noFill/>
        <a:ln>
          <a:noFill/>
        </a:ln>
        <a:effectLst/>
      </c:spPr>
    </c:title>
    <c:autoTitleDeleted val="0"/>
    <c:plotArea>
      <c:layout>
        <c:manualLayout>
          <c:layoutTarget val="inner"/>
          <c:xMode val="edge"/>
          <c:yMode val="edge"/>
          <c:x val="0.23335513830002019"/>
          <c:y val="0.15759259259259256"/>
          <c:w val="0.72220041725553541"/>
          <c:h val="0.7473994126020288"/>
        </c:manualLayout>
      </c:layout>
      <c:barChart>
        <c:barDir val="bar"/>
        <c:grouping val="stacked"/>
        <c:varyColors val="0"/>
        <c:ser>
          <c:idx val="0"/>
          <c:order val="0"/>
          <c:spPr>
            <a:noFill/>
            <a:ln w="25400">
              <a:noFill/>
            </a:ln>
            <a:effectLst/>
          </c:spPr>
          <c:invertIfNegative val="0"/>
          <c:dLbls>
            <c:numFmt formatCode="#,##0" sourceLinked="0"/>
            <c:spPr>
              <a:noFill/>
              <a:ln>
                <a:noFill/>
              </a:ln>
              <a:effectLst/>
            </c:spPr>
            <c:txPr>
              <a:bodyPr wrap="square" lIns="38100" tIns="19050" rIns="38100" bIns="19050" anchor="ctr">
                <a:spAutoFit/>
              </a:bodyPr>
              <a:lstStyle/>
              <a:p>
                <a:pPr>
                  <a:defRPr b="1"/>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FF_presentation!$D$36:$H$36</c:f>
              <c:strCache>
                <c:ptCount val="5"/>
                <c:pt idx="0">
                  <c:v>EV / EBIT F  </c:v>
                </c:pt>
                <c:pt idx="1">
                  <c:v>EV / EBIT A  </c:v>
                </c:pt>
                <c:pt idx="2">
                  <c:v>EV / EBITDA F  </c:v>
                </c:pt>
                <c:pt idx="3">
                  <c:v>EV / EBITDA A  </c:v>
                </c:pt>
                <c:pt idx="4">
                  <c:v>DCF asset</c:v>
                </c:pt>
              </c:strCache>
            </c:strRef>
          </c:cat>
          <c:val>
            <c:numRef>
              <c:f>FF_presentation!$D$37:$H$37</c:f>
              <c:numCache>
                <c:formatCode>#,##0.0_)_);\(#,##0.0\)_);\-_)_);@_)_)</c:formatCode>
                <c:ptCount val="5"/>
                <c:pt idx="0">
                  <c:v>17925.293776047922</c:v>
                </c:pt>
                <c:pt idx="1">
                  <c:v>15577.908307622945</c:v>
                </c:pt>
                <c:pt idx="2">
                  <c:v>13314.626064979588</c:v>
                </c:pt>
                <c:pt idx="3">
                  <c:v>9974.1541571157595</c:v>
                </c:pt>
                <c:pt idx="4">
                  <c:v>12002.063600768692</c:v>
                </c:pt>
              </c:numCache>
            </c:numRef>
          </c:val>
          <c:extLst>
            <c:ext xmlns:c16="http://schemas.microsoft.com/office/drawing/2014/chart" uri="{C3380CC4-5D6E-409C-BE32-E72D297353CC}">
              <c16:uniqueId val="{00000000-C525-4055-A2F7-B3443D326A1F}"/>
            </c:ext>
          </c:extLst>
        </c:ser>
        <c:ser>
          <c:idx val="2"/>
          <c:order val="1"/>
          <c:spPr>
            <a:solidFill>
              <a:srgbClr val="CC9B00">
                <a:alpha val="40000"/>
              </a:srgbClr>
            </a:solidFill>
            <a:ln>
              <a:solidFill>
                <a:srgbClr val="002776"/>
              </a:solidFill>
              <a:prstDash val="solid"/>
            </a:ln>
            <a:effectLst/>
          </c:spPr>
          <c:invertIfNegative val="0"/>
          <c:dPt>
            <c:idx val="0"/>
            <c:invertIfNegative val="0"/>
            <c:bubble3D val="0"/>
            <c:extLst>
              <c:ext xmlns:c16="http://schemas.microsoft.com/office/drawing/2014/chart" uri="{C3380CC4-5D6E-409C-BE32-E72D297353CC}">
                <c16:uniqueId val="{00000001-C525-4055-A2F7-B3443D326A1F}"/>
              </c:ext>
            </c:extLst>
          </c:dPt>
          <c:dPt>
            <c:idx val="1"/>
            <c:invertIfNegative val="0"/>
            <c:bubble3D val="0"/>
            <c:extLst>
              <c:ext xmlns:c16="http://schemas.microsoft.com/office/drawing/2014/chart" uri="{C3380CC4-5D6E-409C-BE32-E72D297353CC}">
                <c16:uniqueId val="{00000002-C525-4055-A2F7-B3443D326A1F}"/>
              </c:ext>
            </c:extLst>
          </c:dPt>
          <c:dPt>
            <c:idx val="2"/>
            <c:invertIfNegative val="0"/>
            <c:bubble3D val="0"/>
            <c:extLst>
              <c:ext xmlns:c16="http://schemas.microsoft.com/office/drawing/2014/chart" uri="{C3380CC4-5D6E-409C-BE32-E72D297353CC}">
                <c16:uniqueId val="{00000003-C525-4055-A2F7-B3443D326A1F}"/>
              </c:ext>
            </c:extLst>
          </c:dPt>
          <c:dPt>
            <c:idx val="3"/>
            <c:invertIfNegative val="0"/>
            <c:bubble3D val="0"/>
            <c:extLst>
              <c:ext xmlns:c16="http://schemas.microsoft.com/office/drawing/2014/chart" uri="{C3380CC4-5D6E-409C-BE32-E72D297353CC}">
                <c16:uniqueId val="{00000004-C525-4055-A2F7-B3443D326A1F}"/>
              </c:ext>
            </c:extLst>
          </c:dPt>
          <c:dPt>
            <c:idx val="4"/>
            <c:invertIfNegative val="0"/>
            <c:bubble3D val="0"/>
            <c:extLst>
              <c:ext xmlns:c16="http://schemas.microsoft.com/office/drawing/2014/chart" uri="{C3380CC4-5D6E-409C-BE32-E72D297353CC}">
                <c16:uniqueId val="{00000005-C525-4055-A2F7-B3443D326A1F}"/>
              </c:ext>
            </c:extLst>
          </c:dPt>
          <c:cat>
            <c:strRef>
              <c:f>FF_presentation!$D$36:$H$36</c:f>
              <c:strCache>
                <c:ptCount val="5"/>
                <c:pt idx="0">
                  <c:v>EV / EBIT F  </c:v>
                </c:pt>
                <c:pt idx="1">
                  <c:v>EV / EBIT A  </c:v>
                </c:pt>
                <c:pt idx="2">
                  <c:v>EV / EBITDA F  </c:v>
                </c:pt>
                <c:pt idx="3">
                  <c:v>EV / EBITDA A  </c:v>
                </c:pt>
                <c:pt idx="4">
                  <c:v>DCF asset</c:v>
                </c:pt>
              </c:strCache>
            </c:strRef>
          </c:cat>
          <c:val>
            <c:numRef>
              <c:f>FF_presentation!$D$39:$H$39</c:f>
              <c:numCache>
                <c:formatCode>#,##0.0_)_);\(#,##0.0\)_);\-_)_);@_)_)</c:formatCode>
                <c:ptCount val="5"/>
                <c:pt idx="0">
                  <c:v>3837.9438670278978</c:v>
                </c:pt>
                <c:pt idx="1">
                  <c:v>1184.2636640573637</c:v>
                </c:pt>
                <c:pt idx="2">
                  <c:v>470.62985866689087</c:v>
                </c:pt>
                <c:pt idx="3">
                  <c:v>1219.0009344135033</c:v>
                </c:pt>
                <c:pt idx="4">
                  <c:v>4047.5402588357247</c:v>
                </c:pt>
              </c:numCache>
            </c:numRef>
          </c:val>
          <c:extLst>
            <c:ext xmlns:c16="http://schemas.microsoft.com/office/drawing/2014/chart" uri="{C3380CC4-5D6E-409C-BE32-E72D297353CC}">
              <c16:uniqueId val="{00000009-C525-4055-A2F7-B3443D326A1F}"/>
            </c:ext>
          </c:extLst>
        </c:ser>
        <c:ser>
          <c:idx val="1"/>
          <c:order val="2"/>
          <c:spPr>
            <a:noFill/>
            <a:ln w="25400">
              <a:noFill/>
            </a:ln>
            <a:effectLst/>
          </c:spPr>
          <c:invertIfNegative val="0"/>
          <c:dLbls>
            <c:numFmt formatCode="#,##0" sourceLinked="0"/>
            <c:spPr>
              <a:noFill/>
              <a:ln>
                <a:noFill/>
              </a:ln>
              <a:effectLst/>
            </c:spPr>
            <c:txPr>
              <a:bodyPr wrap="square" lIns="38100" tIns="19050" rIns="38100" bIns="19050" anchor="ctr">
                <a:spAutoFit/>
              </a:bodyPr>
              <a:lstStyle/>
              <a:p>
                <a:pPr>
                  <a:defRPr b="1"/>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FF_presentation!$D$36:$H$36</c:f>
              <c:strCache>
                <c:ptCount val="5"/>
                <c:pt idx="0">
                  <c:v>EV / EBIT F  </c:v>
                </c:pt>
                <c:pt idx="1">
                  <c:v>EV / EBIT A  </c:v>
                </c:pt>
                <c:pt idx="2">
                  <c:v>EV / EBITDA F  </c:v>
                </c:pt>
                <c:pt idx="3">
                  <c:v>EV / EBITDA A  </c:v>
                </c:pt>
                <c:pt idx="4">
                  <c:v>DCF asset</c:v>
                </c:pt>
              </c:strCache>
            </c:strRef>
          </c:cat>
          <c:val>
            <c:numRef>
              <c:f>FF_presentation!$D$38:$H$38</c:f>
              <c:numCache>
                <c:formatCode>#,##0.0_)_);\(#,##0.0\)_);\-_)_);@_)_)</c:formatCode>
                <c:ptCount val="5"/>
                <c:pt idx="0">
                  <c:v>21763.23764307582</c:v>
                </c:pt>
                <c:pt idx="1">
                  <c:v>16762.171971680309</c:v>
                </c:pt>
                <c:pt idx="2">
                  <c:v>13785.255923646479</c:v>
                </c:pt>
                <c:pt idx="3">
                  <c:v>11193.155091529263</c:v>
                </c:pt>
                <c:pt idx="4">
                  <c:v>16049.603859604416</c:v>
                </c:pt>
              </c:numCache>
            </c:numRef>
          </c:val>
          <c:extLst>
            <c:ext xmlns:c16="http://schemas.microsoft.com/office/drawing/2014/chart" uri="{C3380CC4-5D6E-409C-BE32-E72D297353CC}">
              <c16:uniqueId val="{0000000A-C525-4055-A2F7-B3443D326A1F}"/>
            </c:ext>
          </c:extLst>
        </c:ser>
        <c:dLbls>
          <c:showLegendKey val="0"/>
          <c:showVal val="0"/>
          <c:showCatName val="0"/>
          <c:showSerName val="0"/>
          <c:showPercent val="0"/>
          <c:showBubbleSize val="0"/>
        </c:dLbls>
        <c:gapWidth val="55"/>
        <c:overlap val="100"/>
        <c:axId val="-951776688"/>
        <c:axId val="-951784848"/>
      </c:barChart>
      <c:catAx>
        <c:axId val="-951776688"/>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951784848"/>
        <c:crosses val="autoZero"/>
        <c:auto val="1"/>
        <c:lblAlgn val="ctr"/>
        <c:lblOffset val="100"/>
        <c:noMultiLvlLbl val="0"/>
      </c:catAx>
      <c:valAx>
        <c:axId val="-951784848"/>
        <c:scaling>
          <c:orientation val="minMax"/>
          <c:max val="30000"/>
          <c:min val="5000"/>
        </c:scaling>
        <c:delete val="0"/>
        <c:axPos val="b"/>
        <c:numFmt formatCode="#,##0" sourceLinked="0"/>
        <c:majorTickMark val="in"/>
        <c:minorTickMark val="in"/>
        <c:tickLblPos val="nextTo"/>
        <c:spPr>
          <a:noFill/>
          <a:ln>
            <a:solidFill>
              <a:srgbClr val="D9D9D9"/>
            </a:solidFill>
            <a:prstDash val="solid"/>
          </a:ln>
        </c:spPr>
        <c:txPr>
          <a:bodyPr/>
          <a:lstStyle/>
          <a:p>
            <a:pPr>
              <a:defRPr>
                <a:solidFill>
                  <a:srgbClr val="000000"/>
                </a:solidFill>
              </a:defRPr>
            </a:pPr>
            <a:endParaRPr lang="en-US"/>
          </a:p>
        </c:txPr>
        <c:crossAx val="-9517766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163742690058478E-2"/>
          <c:y val="0.22441142857142857"/>
          <c:w val="0.93567251461988299"/>
          <c:h val="0.6695393475815522"/>
        </c:manualLayout>
      </c:layout>
      <c:barChart>
        <c:barDir val="col"/>
        <c:grouping val="clustered"/>
        <c:varyColors val="0"/>
        <c:ser>
          <c:idx val="0"/>
          <c:order val="0"/>
          <c:spPr>
            <a:solidFill>
              <a:srgbClr val="C00000"/>
            </a:solidFill>
            <a:ln>
              <a:noFill/>
            </a:ln>
            <a:effectLst/>
          </c:spPr>
          <c:invertIfNegative val="0"/>
          <c:dPt>
            <c:idx val="0"/>
            <c:invertIfNegative val="0"/>
            <c:bubble3D val="0"/>
            <c:spPr>
              <a:solidFill>
                <a:srgbClr val="CC9B00"/>
              </a:solidFill>
              <a:ln>
                <a:noFill/>
              </a:ln>
              <a:effectLst/>
            </c:spPr>
            <c:extLst>
              <c:ext xmlns:c16="http://schemas.microsoft.com/office/drawing/2014/chart" uri="{C3380CC4-5D6E-409C-BE32-E72D297353CC}">
                <c16:uniqueId val="{00000000-5B42-B148-95D3-F339ED86B1A4}"/>
              </c:ext>
            </c:extLst>
          </c:dPt>
          <c:dPt>
            <c:idx val="1"/>
            <c:invertIfNegative val="0"/>
            <c:bubble3D val="0"/>
            <c:spPr>
              <a:solidFill>
                <a:srgbClr val="CC9B00"/>
              </a:solidFill>
              <a:ln>
                <a:noFill/>
              </a:ln>
              <a:effectLst/>
            </c:spPr>
            <c:extLst>
              <c:ext xmlns:c16="http://schemas.microsoft.com/office/drawing/2014/chart" uri="{C3380CC4-5D6E-409C-BE32-E72D297353CC}">
                <c16:uniqueId val="{00000001-5B42-B148-95D3-F339ED86B1A4}"/>
              </c:ext>
            </c:extLst>
          </c:dPt>
          <c:dPt>
            <c:idx val="2"/>
            <c:invertIfNegative val="0"/>
            <c:bubble3D val="0"/>
            <c:spPr>
              <a:solidFill>
                <a:srgbClr val="CC9B00"/>
              </a:solidFill>
              <a:ln>
                <a:noFill/>
              </a:ln>
              <a:effectLst/>
            </c:spPr>
            <c:extLst>
              <c:ext xmlns:c16="http://schemas.microsoft.com/office/drawing/2014/chart" uri="{C3380CC4-5D6E-409C-BE32-E72D297353CC}">
                <c16:uniqueId val="{00000002-5B42-B148-95D3-F339ED86B1A4}"/>
              </c:ext>
            </c:extLst>
          </c:dPt>
          <c:dPt>
            <c:idx val="3"/>
            <c:invertIfNegative val="0"/>
            <c:bubble3D val="0"/>
            <c:spPr>
              <a:solidFill>
                <a:srgbClr val="CC9B00"/>
              </a:solidFill>
              <a:ln>
                <a:noFill/>
              </a:ln>
              <a:effectLst/>
            </c:spPr>
            <c:extLst>
              <c:ext xmlns:c16="http://schemas.microsoft.com/office/drawing/2014/chart" uri="{C3380CC4-5D6E-409C-BE32-E72D297353CC}">
                <c16:uniqueId val="{00000003-5B42-B148-95D3-F339ED86B1A4}"/>
              </c:ext>
            </c:extLst>
          </c:dPt>
          <c:dPt>
            <c:idx val="4"/>
            <c:invertIfNegative val="0"/>
            <c:bubble3D val="0"/>
            <c:spPr>
              <a:solidFill>
                <a:srgbClr val="CC9B00"/>
              </a:solidFill>
              <a:ln>
                <a:noFill/>
              </a:ln>
              <a:effectLst/>
            </c:spPr>
            <c:extLst>
              <c:ext xmlns:c16="http://schemas.microsoft.com/office/drawing/2014/chart" uri="{C3380CC4-5D6E-409C-BE32-E72D297353CC}">
                <c16:uniqueId val="{00000004-5B42-B148-95D3-F339ED86B1A4}"/>
              </c:ext>
            </c:extLst>
          </c:dPt>
          <c:dPt>
            <c:idx val="5"/>
            <c:invertIfNegative val="0"/>
            <c:bubble3D val="0"/>
            <c:spPr>
              <a:solidFill>
                <a:srgbClr val="CC9B00"/>
              </a:solidFill>
              <a:ln>
                <a:noFill/>
              </a:ln>
              <a:effectLst/>
            </c:spPr>
            <c:extLst>
              <c:ext xmlns:c16="http://schemas.microsoft.com/office/drawing/2014/chart" uri="{C3380CC4-5D6E-409C-BE32-E72D297353CC}">
                <c16:uniqueId val="{00000005-5B42-B148-95D3-F339ED86B1A4}"/>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Graphs!$B$2:$G$2</c:f>
              <c:numCache>
                <c:formatCode>0</c:formatCode>
                <c:ptCount val="6"/>
                <c:pt idx="0" formatCode="yyyy_)_)">
                  <c:v>44926</c:v>
                </c:pt>
                <c:pt idx="1">
                  <c:v>2023</c:v>
                </c:pt>
                <c:pt idx="2">
                  <c:v>2024</c:v>
                </c:pt>
                <c:pt idx="3">
                  <c:v>2025</c:v>
                </c:pt>
                <c:pt idx="4">
                  <c:v>2026</c:v>
                </c:pt>
                <c:pt idx="5">
                  <c:v>2027</c:v>
                </c:pt>
              </c:numCache>
            </c:numRef>
          </c:cat>
          <c:val>
            <c:numRef>
              <c:f>Graphs!$B$3:$G$3</c:f>
              <c:numCache>
                <c:formatCode>0</c:formatCode>
                <c:ptCount val="6"/>
                <c:pt idx="0">
                  <c:v>2602.889893</c:v>
                </c:pt>
                <c:pt idx="1">
                  <c:v>3220.5379823978315</c:v>
                </c:pt>
                <c:pt idx="2">
                  <c:v>3597.15432803866</c:v>
                </c:pt>
                <c:pt idx="3">
                  <c:v>3919.6161628203831</c:v>
                </c:pt>
                <c:pt idx="4">
                  <c:v>4181.9372391561337</c:v>
                </c:pt>
                <c:pt idx="5">
                  <c:v>4443.7108717016336</c:v>
                </c:pt>
              </c:numCache>
            </c:numRef>
          </c:val>
          <c:extLst>
            <c:ext xmlns:c16="http://schemas.microsoft.com/office/drawing/2014/chart" uri="{C3380CC4-5D6E-409C-BE32-E72D297353CC}">
              <c16:uniqueId val="{00000001-05B9-43BC-B247-737669D64B79}"/>
            </c:ext>
          </c:extLst>
        </c:ser>
        <c:dLbls>
          <c:showLegendKey val="0"/>
          <c:showVal val="0"/>
          <c:showCatName val="0"/>
          <c:showSerName val="0"/>
          <c:showPercent val="0"/>
          <c:showBubbleSize val="0"/>
        </c:dLbls>
        <c:gapWidth val="100"/>
        <c:overlap val="-27"/>
        <c:axId val="23337992"/>
        <c:axId val="23344136"/>
      </c:barChart>
      <c:catAx>
        <c:axId val="23337992"/>
        <c:scaling>
          <c:orientation val="minMax"/>
        </c:scaling>
        <c:delete val="0"/>
        <c:axPos val="b"/>
        <c:numFmt formatCode="yyyy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23344136"/>
        <c:crosses val="autoZero"/>
        <c:auto val="1"/>
        <c:lblAlgn val="ctr"/>
        <c:lblOffset val="100"/>
        <c:noMultiLvlLbl val="0"/>
      </c:catAx>
      <c:valAx>
        <c:axId val="23344136"/>
        <c:scaling>
          <c:orientation val="minMax"/>
        </c:scaling>
        <c:delete val="1"/>
        <c:axPos val="l"/>
        <c:numFmt formatCode="0" sourceLinked="1"/>
        <c:majorTickMark val="none"/>
        <c:minorTickMark val="none"/>
        <c:tickLblPos val="nextTo"/>
        <c:crossAx val="2333799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3921929971519"/>
          <c:y val="0.1388888888888889"/>
          <c:w val="0.85398134807617132"/>
          <c:h val="0.67092000183168665"/>
        </c:manualLayout>
      </c:layout>
      <c:barChart>
        <c:barDir val="col"/>
        <c:grouping val="stacked"/>
        <c:varyColors val="0"/>
        <c:ser>
          <c:idx val="0"/>
          <c:order val="0"/>
          <c:tx>
            <c:v>Moncler</c:v>
          </c:tx>
          <c:spPr>
            <a:solidFill>
              <a:srgbClr val="CC9B00"/>
            </a:solidFill>
            <a:ln>
              <a:noFill/>
            </a:ln>
            <a:effectLst/>
          </c:spPr>
          <c:invertIfNegative val="0"/>
          <c:dLbls>
            <c:delete val="1"/>
          </c:dLbls>
          <c:cat>
            <c:numRef>
              <c:f>Graphs!$B$28:$G$28</c:f>
              <c:numCache>
                <c:formatCode>yyyy_)_)</c:formatCode>
                <c:ptCount val="6"/>
                <c:pt idx="0">
                  <c:v>44926</c:v>
                </c:pt>
                <c:pt idx="1">
                  <c:v>45291</c:v>
                </c:pt>
                <c:pt idx="2">
                  <c:v>45657</c:v>
                </c:pt>
                <c:pt idx="3">
                  <c:v>46022</c:v>
                </c:pt>
                <c:pt idx="4">
                  <c:v>46387</c:v>
                </c:pt>
                <c:pt idx="5">
                  <c:v>46752</c:v>
                </c:pt>
              </c:numCache>
            </c:numRef>
          </c:cat>
          <c:val>
            <c:numRef>
              <c:f>Graphs!$B$33:$G$33</c:f>
              <c:numCache>
                <c:formatCode>0.00</c:formatCode>
                <c:ptCount val="6"/>
                <c:pt idx="0">
                  <c:v>2.4313594490513002</c:v>
                </c:pt>
                <c:pt idx="1">
                  <c:v>3.0098485816802159</c:v>
                </c:pt>
                <c:pt idx="2">
                  <c:v>3.361826474802486</c:v>
                </c:pt>
                <c:pt idx="3">
                  <c:v>3.6631926755330677</c:v>
                </c:pt>
                <c:pt idx="4">
                  <c:v>3.9083525599590034</c:v>
                </c:pt>
                <c:pt idx="5">
                  <c:v>4.1530008146744235</c:v>
                </c:pt>
              </c:numCache>
            </c:numRef>
          </c:val>
          <c:extLst>
            <c:ext xmlns:c16="http://schemas.microsoft.com/office/drawing/2014/chart" uri="{C3380CC4-5D6E-409C-BE32-E72D297353CC}">
              <c16:uniqueId val="{00000000-5FF9-47FE-8546-706D81C02C65}"/>
            </c:ext>
          </c:extLst>
        </c:ser>
        <c:ser>
          <c:idx val="1"/>
          <c:order val="1"/>
          <c:tx>
            <c:v>Others</c:v>
          </c:tx>
          <c:spPr>
            <a:solidFill>
              <a:srgbClr val="FFC000">
                <a:alpha val="40000"/>
              </a:srgbClr>
            </a:solidFill>
            <a:ln>
              <a:noFill/>
            </a:ln>
            <a:effectLst/>
          </c:spPr>
          <c:invertIfNegative val="0"/>
          <c:dLbls>
            <c:delete val="1"/>
          </c:dLbls>
          <c:cat>
            <c:numRef>
              <c:f>Graphs!$B$28:$G$28</c:f>
              <c:numCache>
                <c:formatCode>yyyy_)_)</c:formatCode>
                <c:ptCount val="6"/>
                <c:pt idx="0">
                  <c:v>44926</c:v>
                </c:pt>
                <c:pt idx="1">
                  <c:v>45291</c:v>
                </c:pt>
                <c:pt idx="2">
                  <c:v>45657</c:v>
                </c:pt>
                <c:pt idx="3">
                  <c:v>46022</c:v>
                </c:pt>
                <c:pt idx="4">
                  <c:v>46387</c:v>
                </c:pt>
                <c:pt idx="5">
                  <c:v>46752</c:v>
                </c:pt>
              </c:numCache>
            </c:numRef>
          </c:cat>
          <c:val>
            <c:numRef>
              <c:f>Graphs!$B$35:$G$35</c:f>
              <c:numCache>
                <c:formatCode>0.00</c:formatCode>
                <c:ptCount val="6"/>
                <c:pt idx="0">
                  <c:v>94.798640550948704</c:v>
                </c:pt>
                <c:pt idx="1">
                  <c:v>108.44015141831977</c:v>
                </c:pt>
                <c:pt idx="2">
                  <c:v>112.53817352519751</c:v>
                </c:pt>
                <c:pt idx="3">
                  <c:v>116.41680732446693</c:v>
                </c:pt>
                <c:pt idx="4">
                  <c:v>120.14164744004101</c:v>
                </c:pt>
                <c:pt idx="5">
                  <c:v>123.60699918532556</c:v>
                </c:pt>
              </c:numCache>
            </c:numRef>
          </c:val>
          <c:extLst>
            <c:ext xmlns:c16="http://schemas.microsoft.com/office/drawing/2014/chart" uri="{C3380CC4-5D6E-409C-BE32-E72D297353CC}">
              <c16:uniqueId val="{00000001-5FF9-47FE-8546-706D81C02C65}"/>
            </c:ext>
          </c:extLst>
        </c:ser>
        <c:dLbls>
          <c:dLblPos val="ctr"/>
          <c:showLegendKey val="0"/>
          <c:showVal val="1"/>
          <c:showCatName val="0"/>
          <c:showSerName val="0"/>
          <c:showPercent val="0"/>
          <c:showBubbleSize val="0"/>
        </c:dLbls>
        <c:gapWidth val="100"/>
        <c:overlap val="100"/>
        <c:axId val="1957655760"/>
        <c:axId val="527818048"/>
      </c:barChart>
      <c:dateAx>
        <c:axId val="1957655760"/>
        <c:scaling>
          <c:orientation val="minMax"/>
        </c:scaling>
        <c:delete val="0"/>
        <c:axPos val="b"/>
        <c:numFmt formatCode="yyyy_)_)"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27818048"/>
        <c:crosses val="autoZero"/>
        <c:auto val="1"/>
        <c:lblOffset val="100"/>
        <c:baseTimeUnit val="years"/>
      </c:dateAx>
      <c:valAx>
        <c:axId val="527818048"/>
        <c:scaling>
          <c:orientation val="minMax"/>
          <c:max val="130"/>
          <c:min val="0"/>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765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'Comps data'!$B$58:$G$58</c:f>
              <c:strCache>
                <c:ptCount val="6"/>
                <c:pt idx="0">
                  <c:v>EV / Sales A</c:v>
                </c:pt>
                <c:pt idx="1">
                  <c:v>EV / Sales F</c:v>
                </c:pt>
                <c:pt idx="2">
                  <c:v>EV / EBITDA A</c:v>
                </c:pt>
                <c:pt idx="3">
                  <c:v>EV / EBITDA F</c:v>
                </c:pt>
                <c:pt idx="4">
                  <c:v>P/E  A</c:v>
                </c:pt>
                <c:pt idx="5">
                  <c:v>P/E  F</c:v>
                </c:pt>
              </c:strCache>
            </c:strRef>
          </c:cat>
          <c:val>
            <c:numRef>
              <c:f>'Comps data'!$B$62:$G$62</c:f>
              <c:numCache>
                <c:formatCode>#,##0.0_)_);\(#,##0.0\)_);@_)_)</c:formatCode>
                <c:ptCount val="6"/>
                <c:pt idx="0">
                  <c:v>6359.5447839573681</c:v>
                </c:pt>
                <c:pt idx="1">
                  <c:v>7361.9654901958229</c:v>
                </c:pt>
                <c:pt idx="2">
                  <c:v>10049.252569171213</c:v>
                </c:pt>
                <c:pt idx="3">
                  <c:v>12014.109592234678</c:v>
                </c:pt>
                <c:pt idx="4">
                  <c:v>18684.383707440767</c:v>
                </c:pt>
                <c:pt idx="5">
                  <c:v>14407.682240022017</c:v>
                </c:pt>
              </c:numCache>
            </c:numRef>
          </c:val>
          <c:extLst>
            <c:ext xmlns:c16="http://schemas.microsoft.com/office/drawing/2014/chart" uri="{C3380CC4-5D6E-409C-BE32-E72D297353CC}">
              <c16:uniqueId val="{00000000-5EDA-44EE-909C-F536511B1F48}"/>
            </c:ext>
          </c:extLst>
        </c:ser>
        <c:ser>
          <c:idx val="1"/>
          <c:order val="1"/>
          <c:spPr>
            <a:solidFill>
              <a:srgbClr val="002060"/>
            </a:solidFill>
            <a:ln>
              <a:solidFill>
                <a:srgbClr val="002060"/>
              </a:solidFill>
            </a:ln>
            <a:effectLst/>
          </c:spPr>
          <c:invertIfNegative val="0"/>
          <c:cat>
            <c:strRef>
              <c:f>'Comps data'!$B$58:$G$58</c:f>
              <c:strCache>
                <c:ptCount val="6"/>
                <c:pt idx="0">
                  <c:v>EV / Sales A</c:v>
                </c:pt>
                <c:pt idx="1">
                  <c:v>EV / Sales F</c:v>
                </c:pt>
                <c:pt idx="2">
                  <c:v>EV / EBITDA A</c:v>
                </c:pt>
                <c:pt idx="3">
                  <c:v>EV / EBITDA F</c:v>
                </c:pt>
                <c:pt idx="4">
                  <c:v>P/E  A</c:v>
                </c:pt>
                <c:pt idx="5">
                  <c:v>P/E  F</c:v>
                </c:pt>
              </c:strCache>
            </c:strRef>
          </c:cat>
          <c:val>
            <c:numRef>
              <c:f>'Comps data'!$B$64:$G$64</c:f>
              <c:numCache>
                <c:formatCode>#,##0.0_)_);\(#,##0.0\)_);@_)_)</c:formatCode>
                <c:ptCount val="6"/>
                <c:pt idx="0">
                  <c:v>686.98318736178044</c:v>
                </c:pt>
                <c:pt idx="1">
                  <c:v>27.360911882859909</c:v>
                </c:pt>
                <c:pt idx="2">
                  <c:v>1130.7204049416741</c:v>
                </c:pt>
                <c:pt idx="3">
                  <c:v>424.15499261174591</c:v>
                </c:pt>
                <c:pt idx="4">
                  <c:v>502.65159245785617</c:v>
                </c:pt>
                <c:pt idx="5">
                  <c:v>6406.7218272002556</c:v>
                </c:pt>
              </c:numCache>
            </c:numRef>
          </c:val>
          <c:extLst>
            <c:ext xmlns:c16="http://schemas.microsoft.com/office/drawing/2014/chart" uri="{C3380CC4-5D6E-409C-BE32-E72D297353CC}">
              <c16:uniqueId val="{00000001-5EDA-44EE-909C-F536511B1F48}"/>
            </c:ext>
          </c:extLst>
        </c:ser>
        <c:ser>
          <c:idx val="3"/>
          <c:order val="3"/>
          <c:tx>
            <c:strRef>
              <c:f>'Comps data'!$A$63</c:f>
              <c:strCache>
                <c:ptCount val="1"/>
                <c:pt idx="0">
                  <c:v>max</c:v>
                </c:pt>
              </c:strCache>
            </c:strRef>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'Comps data'!$B$63:$G$63</c:f>
              <c:numCache>
                <c:formatCode>#,##0.0_)_);\(#,##0.0\)_);@_)_)</c:formatCode>
                <c:ptCount val="6"/>
                <c:pt idx="0">
                  <c:v>7046.5279713191485</c:v>
                </c:pt>
                <c:pt idx="1">
                  <c:v>7389.3264020786828</c:v>
                </c:pt>
                <c:pt idx="2">
                  <c:v>11179.972974112887</c:v>
                </c:pt>
                <c:pt idx="3">
                  <c:v>12438.264584846424</c:v>
                </c:pt>
                <c:pt idx="4">
                  <c:v>19187.035299898624</c:v>
                </c:pt>
                <c:pt idx="5">
                  <c:v>20814.404067222273</c:v>
                </c:pt>
              </c:numCache>
            </c:numRef>
          </c:val>
          <c:extLst>
            <c:ext xmlns:c16="http://schemas.microsoft.com/office/drawing/2014/chart" uri="{C3380CC4-5D6E-409C-BE32-E72D297353CC}">
              <c16:uniqueId val="{00000002-5EDA-44EE-909C-F536511B1F48}"/>
            </c:ext>
          </c:extLst>
        </c:ser>
        <c:dLbls>
          <c:showLegendKey val="0"/>
          <c:showVal val="0"/>
          <c:showCatName val="0"/>
          <c:showSerName val="0"/>
          <c:showPercent val="0"/>
          <c:showBubbleSize val="0"/>
        </c:dLbls>
        <c:gapWidth val="219"/>
        <c:overlap val="100"/>
        <c:axId val="115420384"/>
        <c:axId val="150668928"/>
      </c:barChart>
      <c:lineChart>
        <c:grouping val="standard"/>
        <c:varyColors val="0"/>
        <c:ser>
          <c:idx val="2"/>
          <c:order val="2"/>
          <c:spPr>
            <a:ln w="28575" cap="rnd">
              <a:solidFill>
                <a:srgbClr val="FF0000"/>
              </a:solidFill>
              <a:prstDash val="sysDot"/>
              <a:round/>
            </a:ln>
            <a:effectLst/>
          </c:spPr>
          <c:marker>
            <c:symbol val="none"/>
          </c:marker>
          <c:val>
            <c:numRef>
              <c:f>'Comps data'!$B$65:$G$65</c:f>
              <c:numCache>
                <c:formatCode>#,##0.0_)_);\(#,##0.0\)_);@_)_)</c:formatCode>
                <c:ptCount val="6"/>
                <c:pt idx="0">
                  <c:v>13314.226562999998</c:v>
                </c:pt>
                <c:pt idx="1">
                  <c:v>13314.226562999998</c:v>
                </c:pt>
                <c:pt idx="2">
                  <c:v>13314.226562999998</c:v>
                </c:pt>
                <c:pt idx="3">
                  <c:v>13314.226562999998</c:v>
                </c:pt>
                <c:pt idx="4">
                  <c:v>13314.226562999998</c:v>
                </c:pt>
                <c:pt idx="5">
                  <c:v>13314.226562999998</c:v>
                </c:pt>
              </c:numCache>
            </c:numRef>
          </c:val>
          <c:smooth val="0"/>
          <c:extLst>
            <c:ext xmlns:c16="http://schemas.microsoft.com/office/drawing/2014/chart" uri="{C3380CC4-5D6E-409C-BE32-E72D297353CC}">
              <c16:uniqueId val="{00000003-5EDA-44EE-909C-F536511B1F48}"/>
            </c:ext>
          </c:extLst>
        </c:ser>
        <c:dLbls>
          <c:showLegendKey val="0"/>
          <c:showVal val="0"/>
          <c:showCatName val="0"/>
          <c:showSerName val="0"/>
          <c:showPercent val="0"/>
          <c:showBubbleSize val="0"/>
        </c:dLbls>
        <c:marker val="1"/>
        <c:smooth val="0"/>
        <c:axId val="115420384"/>
        <c:axId val="150668928"/>
      </c:lineChart>
      <c:catAx>
        <c:axId val="11542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668928"/>
        <c:crosses val="autoZero"/>
        <c:auto val="1"/>
        <c:lblAlgn val="ctr"/>
        <c:lblOffset val="100"/>
        <c:noMultiLvlLbl val="0"/>
      </c:catAx>
      <c:valAx>
        <c:axId val="150668928"/>
        <c:scaling>
          <c:orientation val="minMax"/>
        </c:scaling>
        <c:delete val="0"/>
        <c:axPos val="l"/>
        <c:majorGridlines>
          <c:spPr>
            <a:ln w="9525" cap="flat" cmpd="sng" algn="ctr">
              <a:solidFill>
                <a:schemeClr val="tx1">
                  <a:lumMod val="15000"/>
                  <a:lumOff val="85000"/>
                </a:schemeClr>
              </a:solidFill>
              <a:round/>
            </a:ln>
            <a:effectLst/>
          </c:spPr>
        </c:majorGridlines>
        <c:numFmt formatCode="#,##0.0_)_);\(#,##0.0\)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203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901234567901231E-2"/>
          <c:y val="5.3896604938271607E-2"/>
          <c:w val="0.33843262871710933"/>
          <c:h val="0.89220679012345683"/>
        </c:manualLayout>
      </c:layout>
      <c:barChart>
        <c:barDir val="bar"/>
        <c:grouping val="clustered"/>
        <c:varyColors val="0"/>
        <c:ser>
          <c:idx val="0"/>
          <c:order val="0"/>
          <c:spPr>
            <a:solidFill>
              <a:schemeClr val="accent3">
                <a:lumMod val="20000"/>
                <a:lumOff val="80000"/>
              </a:schemeClr>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Benchmark!$B$4:$B$11</c:f>
              <c:strCache>
                <c:ptCount val="8"/>
                <c:pt idx="0">
                  <c:v>Moncler SpA (XMIL:MONC)</c:v>
                </c:pt>
                <c:pt idx="1">
                  <c:v>Tod's SpA (XMIL:TOD)</c:v>
                </c:pt>
                <c:pt idx="2">
                  <c:v>BURBERRY GROUP PLC (XLON:BRBY)</c:v>
                </c:pt>
                <c:pt idx="3">
                  <c:v>Salvatore Ferragamo SpA (XMIL:SFER)</c:v>
                </c:pt>
                <c:pt idx="4">
                  <c:v>Brunello Cucinelli SpA (XMIL:BC)</c:v>
                </c:pt>
                <c:pt idx="5">
                  <c:v>CANADA GOOSE HOLDINGS INC. (XNYS:GOOS)</c:v>
                </c:pt>
                <c:pt idx="6">
                  <c:v>RALPH LAUREN CORPORATION (XNYS:RL)</c:v>
                </c:pt>
                <c:pt idx="7">
                  <c:v>#REF!</c:v>
                </c:pt>
              </c:strCache>
            </c:strRef>
          </c:cat>
          <c:val>
            <c:numRef>
              <c:f>Benchmark!$F$4:$F$11</c:f>
              <c:numCache>
                <c:formatCode>#,##0%_)_);\(#,##0%\)_);\-_)_);@_)_)</c:formatCode>
                <c:ptCount val="8"/>
                <c:pt idx="0">
                  <c:v>0.74514575244389458</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257-43FF-9452-2F70AB73047A}"/>
            </c:ext>
          </c:extLst>
        </c:ser>
        <c:dLbls>
          <c:showLegendKey val="0"/>
          <c:showVal val="0"/>
          <c:showCatName val="0"/>
          <c:showSerName val="0"/>
          <c:showPercent val="0"/>
          <c:showBubbleSize val="0"/>
        </c:dLbls>
        <c:gapWidth val="32"/>
        <c:axId val="1834461552"/>
        <c:axId val="1834451568"/>
      </c:barChart>
      <c:catAx>
        <c:axId val="1834461552"/>
        <c:scaling>
          <c:orientation val="maxMin"/>
        </c:scaling>
        <c:delete val="1"/>
        <c:axPos val="l"/>
        <c:numFmt formatCode="General" sourceLinked="1"/>
        <c:majorTickMark val="none"/>
        <c:minorTickMark val="none"/>
        <c:tickLblPos val="nextTo"/>
        <c:crossAx val="1834451568"/>
        <c:crosses val="autoZero"/>
        <c:auto val="1"/>
        <c:lblAlgn val="ctr"/>
        <c:lblOffset val="100"/>
        <c:noMultiLvlLbl val="0"/>
      </c:catAx>
      <c:valAx>
        <c:axId val="1834451568"/>
        <c:scaling>
          <c:orientation val="minMax"/>
        </c:scaling>
        <c:delete val="1"/>
        <c:axPos val="t"/>
        <c:numFmt formatCode="#,##0%_)_);\(#,##0%\)_);\-_)_);@_)_)" sourceLinked="1"/>
        <c:majorTickMark val="none"/>
        <c:minorTickMark val="none"/>
        <c:tickLblPos val="nextTo"/>
        <c:crossAx val="183446155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b="1">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463768115942032E-2"/>
          <c:y val="5.3896604938271607E-2"/>
          <c:w val="0.44373748832243426"/>
          <c:h val="0.89220679012345683"/>
        </c:manualLayout>
      </c:layout>
      <c:barChart>
        <c:barDir val="bar"/>
        <c:grouping val="clustered"/>
        <c:varyColors val="0"/>
        <c:ser>
          <c:idx val="0"/>
          <c:order val="0"/>
          <c:spPr>
            <a:solidFill>
              <a:schemeClr val="accent2">
                <a:lumMod val="20000"/>
                <a:lumOff val="80000"/>
              </a:schemeClr>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Benchmark!$B$4:$B$11</c:f>
              <c:strCache>
                <c:ptCount val="8"/>
                <c:pt idx="0">
                  <c:v>Moncler SpA (XMIL:MONC)</c:v>
                </c:pt>
                <c:pt idx="1">
                  <c:v>Tod's SpA (XMIL:TOD)</c:v>
                </c:pt>
                <c:pt idx="2">
                  <c:v>BURBERRY GROUP PLC (XLON:BRBY)</c:v>
                </c:pt>
                <c:pt idx="3">
                  <c:v>Salvatore Ferragamo SpA (XMIL:SFER)</c:v>
                </c:pt>
                <c:pt idx="4">
                  <c:v>Brunello Cucinelli SpA (XMIL:BC)</c:v>
                </c:pt>
                <c:pt idx="5">
                  <c:v>CANADA GOOSE HOLDINGS INC. (XNYS:GOOS)</c:v>
                </c:pt>
                <c:pt idx="6">
                  <c:v>RALPH LAUREN CORPORATION (XNYS:RL)</c:v>
                </c:pt>
                <c:pt idx="7">
                  <c:v>#REF!</c:v>
                </c:pt>
              </c:strCache>
            </c:strRef>
          </c:cat>
          <c:val>
            <c:numRef>
              <c:f>Benchmark!$F$4:$F$11</c:f>
              <c:numCache>
                <c:formatCode>#,##0%_)_);\(#,##0%\)_);\-_)_);@_)_)</c:formatCode>
                <c:ptCount val="8"/>
                <c:pt idx="0">
                  <c:v>0.74514575244389458</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C53F-4EF0-A67C-39AF27D856DC}"/>
            </c:ext>
          </c:extLst>
        </c:ser>
        <c:dLbls>
          <c:showLegendKey val="0"/>
          <c:showVal val="0"/>
          <c:showCatName val="0"/>
          <c:showSerName val="0"/>
          <c:showPercent val="0"/>
          <c:showBubbleSize val="0"/>
        </c:dLbls>
        <c:gapWidth val="32"/>
        <c:axId val="1834461552"/>
        <c:axId val="1834451568"/>
      </c:barChart>
      <c:catAx>
        <c:axId val="1834461552"/>
        <c:scaling>
          <c:orientation val="maxMin"/>
        </c:scaling>
        <c:delete val="1"/>
        <c:axPos val="l"/>
        <c:numFmt formatCode="General" sourceLinked="1"/>
        <c:majorTickMark val="none"/>
        <c:minorTickMark val="none"/>
        <c:tickLblPos val="nextTo"/>
        <c:crossAx val="1834451568"/>
        <c:crosses val="autoZero"/>
        <c:auto val="1"/>
        <c:lblAlgn val="ctr"/>
        <c:lblOffset val="100"/>
        <c:noMultiLvlLbl val="0"/>
      </c:catAx>
      <c:valAx>
        <c:axId val="1834451568"/>
        <c:scaling>
          <c:orientation val="minMax"/>
        </c:scaling>
        <c:delete val="1"/>
        <c:axPos val="t"/>
        <c:numFmt formatCode="#,##0%_)_);\(#,##0%\)_);\-_)_);@_)_)" sourceLinked="1"/>
        <c:majorTickMark val="none"/>
        <c:minorTickMark val="none"/>
        <c:tickLblPos val="nextTo"/>
        <c:crossAx val="183446155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b="1">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1"/>
          <c:order val="0"/>
          <c:tx>
            <c:strRef>
              <c:f>SlidesBackup!$D$149</c:f>
              <c:strCache>
                <c:ptCount val="1"/>
                <c:pt idx="0">
                  <c:v>Sales (€m)  </c:v>
                </c:pt>
              </c:strCache>
            </c:strRef>
          </c:tx>
          <c:spPr>
            <a:solidFill>
              <a:srgbClr val="00B050"/>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SlidesBackup!$C$150:$C$167</c:f>
              <c:numCache>
                <c:formatCode>yy_)_)</c:formatCode>
                <c:ptCount val="18"/>
                <c:pt idx="0">
                  <c:v>36525</c:v>
                </c:pt>
                <c:pt idx="1">
                  <c:v>36891</c:v>
                </c:pt>
                <c:pt idx="2">
                  <c:v>37256</c:v>
                </c:pt>
                <c:pt idx="3">
                  <c:v>37621</c:v>
                </c:pt>
                <c:pt idx="4">
                  <c:v>37986</c:v>
                </c:pt>
                <c:pt idx="5">
                  <c:v>38352</c:v>
                </c:pt>
                <c:pt idx="6">
                  <c:v>38717</c:v>
                </c:pt>
                <c:pt idx="7">
                  <c:v>39082</c:v>
                </c:pt>
                <c:pt idx="8">
                  <c:v>39447</c:v>
                </c:pt>
                <c:pt idx="9">
                  <c:v>39813</c:v>
                </c:pt>
                <c:pt idx="10">
                  <c:v>40178</c:v>
                </c:pt>
                <c:pt idx="11">
                  <c:v>40543</c:v>
                </c:pt>
                <c:pt idx="12">
                  <c:v>40908</c:v>
                </c:pt>
                <c:pt idx="13">
                  <c:v>41274</c:v>
                </c:pt>
                <c:pt idx="14">
                  <c:v>41639</c:v>
                </c:pt>
                <c:pt idx="15">
                  <c:v>42004</c:v>
                </c:pt>
                <c:pt idx="16">
                  <c:v>42369</c:v>
                </c:pt>
                <c:pt idx="17">
                  <c:v>42735</c:v>
                </c:pt>
              </c:numCache>
            </c:numRef>
          </c:cat>
          <c:val>
            <c:numRef>
              <c:f>SlidesBackup!$D$150:$D$167</c:f>
              <c:numCache>
                <c:formatCode>#,##0_)_);\(#,##0\)_);\-_)_);@_)_)</c:formatCode>
                <c:ptCount val="18"/>
                <c:pt idx="0">
                  <c:v>366.00099999999998</c:v>
                </c:pt>
                <c:pt idx="1">
                  <c:v>434.04199999999997</c:v>
                </c:pt>
                <c:pt idx="2">
                  <c:v>494.27099999999996</c:v>
                </c:pt>
                <c:pt idx="3">
                  <c:v>660.61500000000001</c:v>
                </c:pt>
                <c:pt idx="4">
                  <c:v>714.14800000000002</c:v>
                </c:pt>
                <c:pt idx="5">
                  <c:v>751.1</c:v>
                </c:pt>
                <c:pt idx="6">
                  <c:v>809.9</c:v>
                </c:pt>
                <c:pt idx="7">
                  <c:v>932.4</c:v>
                </c:pt>
                <c:pt idx="8">
                  <c:v>957.5</c:v>
                </c:pt>
                <c:pt idx="9">
                  <c:v>942.3</c:v>
                </c:pt>
                <c:pt idx="10">
                  <c:v>1008.4</c:v>
                </c:pt>
                <c:pt idx="11">
                  <c:v>1163</c:v>
                </c:pt>
                <c:pt idx="12">
                  <c:v>1274.2</c:v>
                </c:pt>
                <c:pt idx="13">
                  <c:v>1340.8</c:v>
                </c:pt>
                <c:pt idx="14">
                  <c:v>1524.1</c:v>
                </c:pt>
                <c:pt idx="15">
                  <c:v>1560</c:v>
                </c:pt>
                <c:pt idx="16">
                  <c:v>1656.8178217099992</c:v>
                </c:pt>
                <c:pt idx="17">
                  <c:v>1726.5</c:v>
                </c:pt>
              </c:numCache>
            </c:numRef>
          </c:val>
          <c:extLst>
            <c:ext xmlns:c16="http://schemas.microsoft.com/office/drawing/2014/chart" uri="{C3380CC4-5D6E-409C-BE32-E72D297353CC}">
              <c16:uniqueId val="{00000000-ADE3-43EA-B848-5E8490651169}"/>
            </c:ext>
          </c:extLst>
        </c:ser>
        <c:dLbls>
          <c:showLegendKey val="0"/>
          <c:showVal val="0"/>
          <c:showCatName val="0"/>
          <c:showSerName val="0"/>
          <c:showPercent val="0"/>
          <c:showBubbleSize val="0"/>
        </c:dLbls>
        <c:gapWidth val="93"/>
        <c:overlap val="-27"/>
        <c:axId val="-951783760"/>
        <c:axId val="-951783216"/>
      </c:barChart>
      <c:lineChart>
        <c:grouping val="standard"/>
        <c:varyColors val="0"/>
        <c:ser>
          <c:idx val="0"/>
          <c:order val="1"/>
          <c:tx>
            <c:strRef>
              <c:f>SlidesBackup!$E$149</c:f>
              <c:strCache>
                <c:ptCount val="1"/>
                <c:pt idx="0">
                  <c:v>Sales growth  </c:v>
                </c:pt>
              </c:strCache>
            </c:strRef>
          </c:tx>
          <c:spPr>
            <a:ln w="12700">
              <a:solidFill>
                <a:srgbClr val="3333CC"/>
              </a:solidFill>
            </a:ln>
          </c:spPr>
          <c:marker>
            <c:symbol val="circle"/>
            <c:size val="5"/>
            <c:spPr>
              <a:ln w="12700">
                <a:solidFill>
                  <a:srgbClr val="3333CC"/>
                </a:solidFill>
              </a:ln>
            </c:spPr>
          </c:marker>
          <c:dLbls>
            <c:spPr>
              <a:noFill/>
              <a:ln>
                <a:noFill/>
              </a:ln>
              <a:effectLst/>
            </c:spPr>
            <c:txPr>
              <a:bodyPr/>
              <a:lstStyle/>
              <a:p>
                <a:pPr>
                  <a:defRPr sz="1000" b="1"/>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SlidesBackup!$C$150:$C$167</c:f>
              <c:numCache>
                <c:formatCode>yy_)_)</c:formatCode>
                <c:ptCount val="18"/>
                <c:pt idx="0">
                  <c:v>36525</c:v>
                </c:pt>
                <c:pt idx="1">
                  <c:v>36891</c:v>
                </c:pt>
                <c:pt idx="2">
                  <c:v>37256</c:v>
                </c:pt>
                <c:pt idx="3">
                  <c:v>37621</c:v>
                </c:pt>
                <c:pt idx="4">
                  <c:v>37986</c:v>
                </c:pt>
                <c:pt idx="5">
                  <c:v>38352</c:v>
                </c:pt>
                <c:pt idx="6">
                  <c:v>38717</c:v>
                </c:pt>
                <c:pt idx="7">
                  <c:v>39082</c:v>
                </c:pt>
                <c:pt idx="8">
                  <c:v>39447</c:v>
                </c:pt>
                <c:pt idx="9">
                  <c:v>39813</c:v>
                </c:pt>
                <c:pt idx="10">
                  <c:v>40178</c:v>
                </c:pt>
                <c:pt idx="11">
                  <c:v>40543</c:v>
                </c:pt>
                <c:pt idx="12">
                  <c:v>40908</c:v>
                </c:pt>
                <c:pt idx="13">
                  <c:v>41274</c:v>
                </c:pt>
                <c:pt idx="14">
                  <c:v>41639</c:v>
                </c:pt>
                <c:pt idx="15">
                  <c:v>42004</c:v>
                </c:pt>
                <c:pt idx="16">
                  <c:v>42369</c:v>
                </c:pt>
                <c:pt idx="17">
                  <c:v>42735</c:v>
                </c:pt>
              </c:numCache>
            </c:numRef>
          </c:cat>
          <c:val>
            <c:numRef>
              <c:f>SlidesBackup!$E$150:$E$167</c:f>
              <c:numCache>
                <c:formatCode>0.0%_)_);\(0.0%\)_);\-_)_);@_)_)</c:formatCode>
                <c:ptCount val="18"/>
                <c:pt idx="1">
                  <c:v>0.18590386365064582</c:v>
                </c:pt>
                <c:pt idx="2">
                  <c:v>0.1387630690117545</c:v>
                </c:pt>
                <c:pt idx="3">
                  <c:v>0.33654412255624955</c:v>
                </c:pt>
                <c:pt idx="4">
                  <c:v>8.1035096084709046E-2</c:v>
                </c:pt>
                <c:pt idx="5">
                  <c:v>5.174277600721422E-2</c:v>
                </c:pt>
                <c:pt idx="6">
                  <c:v>7.8285181733457554E-2</c:v>
                </c:pt>
                <c:pt idx="7">
                  <c:v>0.15125324114088157</c:v>
                </c:pt>
                <c:pt idx="8">
                  <c:v>2.6919776919776872E-2</c:v>
                </c:pt>
                <c:pt idx="9">
                  <c:v>-1.5874673629242886E-2</c:v>
                </c:pt>
                <c:pt idx="10">
                  <c:v>7.0147511408256369E-2</c:v>
                </c:pt>
                <c:pt idx="11">
                  <c:v>0.15331217770725902</c:v>
                </c:pt>
                <c:pt idx="12">
                  <c:v>9.5614789337919115E-2</c:v>
                </c:pt>
                <c:pt idx="13">
                  <c:v>5.2268089781823734E-2</c:v>
                </c:pt>
                <c:pt idx="14">
                  <c:v>0.13670942720763724</c:v>
                </c:pt>
                <c:pt idx="15">
                  <c:v>2.3554884850075508E-2</c:v>
                </c:pt>
                <c:pt idx="16">
                  <c:v>6.2062706224358388E-2</c:v>
                </c:pt>
                <c:pt idx="17">
                  <c:v>4.205783965920995E-2</c:v>
                </c:pt>
              </c:numCache>
            </c:numRef>
          </c:val>
          <c:smooth val="0"/>
          <c:extLst>
            <c:ext xmlns:c16="http://schemas.microsoft.com/office/drawing/2014/chart" uri="{C3380CC4-5D6E-409C-BE32-E72D297353CC}">
              <c16:uniqueId val="{00000001-ADE3-43EA-B848-5E8490651169}"/>
            </c:ext>
          </c:extLst>
        </c:ser>
        <c:dLbls>
          <c:showLegendKey val="0"/>
          <c:showVal val="0"/>
          <c:showCatName val="0"/>
          <c:showSerName val="0"/>
          <c:showPercent val="0"/>
          <c:showBubbleSize val="0"/>
        </c:dLbls>
        <c:marker val="1"/>
        <c:smooth val="0"/>
        <c:axId val="-951779952"/>
        <c:axId val="-951776144"/>
      </c:lineChart>
      <c:dateAx>
        <c:axId val="-951783760"/>
        <c:scaling>
          <c:orientation val="minMax"/>
        </c:scaling>
        <c:delete val="0"/>
        <c:axPos val="b"/>
        <c:numFmt formatCode="yy_)_)"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51783216"/>
        <c:crosses val="autoZero"/>
        <c:auto val="1"/>
        <c:lblOffset val="100"/>
        <c:baseTimeUnit val="years"/>
      </c:dateAx>
      <c:valAx>
        <c:axId val="-951783216"/>
        <c:scaling>
          <c:orientation val="minMax"/>
          <c:max val="4000"/>
        </c:scaling>
        <c:delete val="0"/>
        <c:axPos val="l"/>
        <c:numFmt formatCode="#,##0_)_);\(#,##0\)_);\-_)_);@_)_)" sourceLinked="1"/>
        <c:majorTickMark val="none"/>
        <c:minorTickMark val="none"/>
        <c:tickLblPos val="none"/>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51783760"/>
        <c:crosses val="autoZero"/>
        <c:crossBetween val="between"/>
      </c:valAx>
      <c:valAx>
        <c:axId val="-951776144"/>
        <c:scaling>
          <c:orientation val="minMax"/>
          <c:max val="0.4"/>
          <c:min val="-0.70000000000000007"/>
        </c:scaling>
        <c:delete val="0"/>
        <c:axPos val="r"/>
        <c:numFmt formatCode="#,##0.0_)_);\(#,##0.0\)_);\-_)_);@_)_)" sourceLinked="1"/>
        <c:majorTickMark val="none"/>
        <c:minorTickMark val="none"/>
        <c:tickLblPos val="none"/>
        <c:spPr>
          <a:ln>
            <a:noFill/>
          </a:ln>
        </c:spPr>
        <c:crossAx val="-951779952"/>
        <c:crosses val="max"/>
        <c:crossBetween val="between"/>
      </c:valAx>
      <c:dateAx>
        <c:axId val="-951779952"/>
        <c:scaling>
          <c:orientation val="minMax"/>
        </c:scaling>
        <c:delete val="1"/>
        <c:axPos val="b"/>
        <c:numFmt formatCode="yy_)_)" sourceLinked="1"/>
        <c:majorTickMark val="out"/>
        <c:minorTickMark val="none"/>
        <c:tickLblPos val="nextTo"/>
        <c:crossAx val="-951776144"/>
        <c:crosses val="autoZero"/>
        <c:auto val="1"/>
        <c:lblOffset val="100"/>
        <c:baseTimeUnit val="years"/>
      </c:date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sz="11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Backups!$D$4</c:f>
              <c:strCache>
                <c:ptCount val="1"/>
                <c:pt idx="0">
                  <c:v>Volume  </c:v>
                </c:pt>
              </c:strCache>
            </c:strRef>
          </c:tx>
          <c:spPr>
            <a:solidFill>
              <a:schemeClr val="accent5">
                <a:lumMod val="20000"/>
                <a:lumOff val="80000"/>
              </a:schemeClr>
            </a:solidFill>
            <a:ln>
              <a:noFill/>
            </a:ln>
            <a:effectLst/>
          </c:spPr>
          <c:invertIfNegative val="0"/>
          <c:cat>
            <c:numRef>
              <c:f>Backups!$B$5:$B$1272</c:f>
              <c:numCache>
                <c:formatCode>dd/mm/yyyy_)_)</c:formatCode>
                <c:ptCount val="1268"/>
                <c:pt idx="0">
                  <c:v>41001</c:v>
                </c:pt>
                <c:pt idx="1">
                  <c:v>41002</c:v>
                </c:pt>
                <c:pt idx="2">
                  <c:v>41003</c:v>
                </c:pt>
                <c:pt idx="3">
                  <c:v>41004</c:v>
                </c:pt>
                <c:pt idx="4">
                  <c:v>41009</c:v>
                </c:pt>
                <c:pt idx="5">
                  <c:v>41010</c:v>
                </c:pt>
                <c:pt idx="6">
                  <c:v>41011</c:v>
                </c:pt>
                <c:pt idx="7">
                  <c:v>41012</c:v>
                </c:pt>
                <c:pt idx="8">
                  <c:v>41015</c:v>
                </c:pt>
                <c:pt idx="9">
                  <c:v>41016</c:v>
                </c:pt>
                <c:pt idx="10">
                  <c:v>41017</c:v>
                </c:pt>
                <c:pt idx="11">
                  <c:v>41018</c:v>
                </c:pt>
                <c:pt idx="12">
                  <c:v>41019</c:v>
                </c:pt>
                <c:pt idx="13">
                  <c:v>41022</c:v>
                </c:pt>
                <c:pt idx="14">
                  <c:v>41023</c:v>
                </c:pt>
                <c:pt idx="15">
                  <c:v>41024</c:v>
                </c:pt>
                <c:pt idx="16">
                  <c:v>41025</c:v>
                </c:pt>
                <c:pt idx="17">
                  <c:v>41026</c:v>
                </c:pt>
                <c:pt idx="18">
                  <c:v>41029</c:v>
                </c:pt>
                <c:pt idx="19">
                  <c:v>41031</c:v>
                </c:pt>
                <c:pt idx="20">
                  <c:v>41032</c:v>
                </c:pt>
                <c:pt idx="21">
                  <c:v>41033</c:v>
                </c:pt>
                <c:pt idx="22">
                  <c:v>41036</c:v>
                </c:pt>
                <c:pt idx="23">
                  <c:v>41037</c:v>
                </c:pt>
                <c:pt idx="24">
                  <c:v>41038</c:v>
                </c:pt>
                <c:pt idx="25">
                  <c:v>41039</c:v>
                </c:pt>
                <c:pt idx="26">
                  <c:v>41040</c:v>
                </c:pt>
                <c:pt idx="27">
                  <c:v>41043</c:v>
                </c:pt>
                <c:pt idx="28">
                  <c:v>41044</c:v>
                </c:pt>
                <c:pt idx="29">
                  <c:v>41045</c:v>
                </c:pt>
                <c:pt idx="30">
                  <c:v>41046</c:v>
                </c:pt>
                <c:pt idx="31">
                  <c:v>41047</c:v>
                </c:pt>
                <c:pt idx="32">
                  <c:v>41050</c:v>
                </c:pt>
                <c:pt idx="33">
                  <c:v>41051</c:v>
                </c:pt>
                <c:pt idx="34">
                  <c:v>41052</c:v>
                </c:pt>
                <c:pt idx="35">
                  <c:v>41053</c:v>
                </c:pt>
                <c:pt idx="36">
                  <c:v>41054</c:v>
                </c:pt>
                <c:pt idx="37">
                  <c:v>41057</c:v>
                </c:pt>
                <c:pt idx="38">
                  <c:v>41058</c:v>
                </c:pt>
                <c:pt idx="39">
                  <c:v>41059</c:v>
                </c:pt>
                <c:pt idx="40">
                  <c:v>41060</c:v>
                </c:pt>
                <c:pt idx="41">
                  <c:v>41061</c:v>
                </c:pt>
                <c:pt idx="42">
                  <c:v>41064</c:v>
                </c:pt>
                <c:pt idx="43">
                  <c:v>41065</c:v>
                </c:pt>
                <c:pt idx="44">
                  <c:v>41066</c:v>
                </c:pt>
                <c:pt idx="45">
                  <c:v>41067</c:v>
                </c:pt>
                <c:pt idx="46">
                  <c:v>41068</c:v>
                </c:pt>
                <c:pt idx="47">
                  <c:v>41071</c:v>
                </c:pt>
                <c:pt idx="48">
                  <c:v>41072</c:v>
                </c:pt>
                <c:pt idx="49">
                  <c:v>41073</c:v>
                </c:pt>
                <c:pt idx="50">
                  <c:v>41074</c:v>
                </c:pt>
                <c:pt idx="51">
                  <c:v>41075</c:v>
                </c:pt>
                <c:pt idx="52">
                  <c:v>41078</c:v>
                </c:pt>
                <c:pt idx="53">
                  <c:v>41079</c:v>
                </c:pt>
                <c:pt idx="54">
                  <c:v>41080</c:v>
                </c:pt>
                <c:pt idx="55">
                  <c:v>41081</c:v>
                </c:pt>
                <c:pt idx="56">
                  <c:v>41082</c:v>
                </c:pt>
                <c:pt idx="57">
                  <c:v>41085</c:v>
                </c:pt>
                <c:pt idx="58">
                  <c:v>41086</c:v>
                </c:pt>
                <c:pt idx="59">
                  <c:v>41087</c:v>
                </c:pt>
                <c:pt idx="60">
                  <c:v>41088</c:v>
                </c:pt>
                <c:pt idx="61">
                  <c:v>41089</c:v>
                </c:pt>
                <c:pt idx="62">
                  <c:v>41092</c:v>
                </c:pt>
                <c:pt idx="63">
                  <c:v>41093</c:v>
                </c:pt>
                <c:pt idx="64">
                  <c:v>41094</c:v>
                </c:pt>
                <c:pt idx="65">
                  <c:v>41095</c:v>
                </c:pt>
                <c:pt idx="66">
                  <c:v>41096</c:v>
                </c:pt>
                <c:pt idx="67">
                  <c:v>41099</c:v>
                </c:pt>
                <c:pt idx="68">
                  <c:v>41100</c:v>
                </c:pt>
                <c:pt idx="69">
                  <c:v>41101</c:v>
                </c:pt>
                <c:pt idx="70">
                  <c:v>41102</c:v>
                </c:pt>
                <c:pt idx="71">
                  <c:v>41103</c:v>
                </c:pt>
                <c:pt idx="72">
                  <c:v>41106</c:v>
                </c:pt>
                <c:pt idx="73">
                  <c:v>41107</c:v>
                </c:pt>
                <c:pt idx="74">
                  <c:v>41108</c:v>
                </c:pt>
                <c:pt idx="75">
                  <c:v>41109</c:v>
                </c:pt>
                <c:pt idx="76">
                  <c:v>41110</c:v>
                </c:pt>
                <c:pt idx="77">
                  <c:v>41113</c:v>
                </c:pt>
                <c:pt idx="78">
                  <c:v>41114</c:v>
                </c:pt>
                <c:pt idx="79">
                  <c:v>41115</c:v>
                </c:pt>
                <c:pt idx="80">
                  <c:v>41116</c:v>
                </c:pt>
                <c:pt idx="81">
                  <c:v>41117</c:v>
                </c:pt>
                <c:pt idx="82">
                  <c:v>41120</c:v>
                </c:pt>
                <c:pt idx="83">
                  <c:v>41121</c:v>
                </c:pt>
                <c:pt idx="84">
                  <c:v>41122</c:v>
                </c:pt>
                <c:pt idx="85">
                  <c:v>41123</c:v>
                </c:pt>
                <c:pt idx="86">
                  <c:v>41124</c:v>
                </c:pt>
                <c:pt idx="87">
                  <c:v>41127</c:v>
                </c:pt>
                <c:pt idx="88">
                  <c:v>41128</c:v>
                </c:pt>
                <c:pt idx="89">
                  <c:v>41129</c:v>
                </c:pt>
                <c:pt idx="90">
                  <c:v>41130</c:v>
                </c:pt>
                <c:pt idx="91">
                  <c:v>41131</c:v>
                </c:pt>
                <c:pt idx="92">
                  <c:v>41134</c:v>
                </c:pt>
                <c:pt idx="93">
                  <c:v>41135</c:v>
                </c:pt>
                <c:pt idx="94">
                  <c:v>41137</c:v>
                </c:pt>
                <c:pt idx="95">
                  <c:v>41138</c:v>
                </c:pt>
                <c:pt idx="96">
                  <c:v>41141</c:v>
                </c:pt>
                <c:pt idx="97">
                  <c:v>41142</c:v>
                </c:pt>
                <c:pt idx="98">
                  <c:v>41143</c:v>
                </c:pt>
                <c:pt idx="99">
                  <c:v>41144</c:v>
                </c:pt>
                <c:pt idx="100">
                  <c:v>41145</c:v>
                </c:pt>
                <c:pt idx="101">
                  <c:v>41148</c:v>
                </c:pt>
                <c:pt idx="102">
                  <c:v>41149</c:v>
                </c:pt>
                <c:pt idx="103">
                  <c:v>41150</c:v>
                </c:pt>
                <c:pt idx="104">
                  <c:v>41151</c:v>
                </c:pt>
                <c:pt idx="105">
                  <c:v>41152</c:v>
                </c:pt>
                <c:pt idx="106">
                  <c:v>41155</c:v>
                </c:pt>
                <c:pt idx="107">
                  <c:v>41156</c:v>
                </c:pt>
                <c:pt idx="108">
                  <c:v>41157</c:v>
                </c:pt>
                <c:pt idx="109">
                  <c:v>41158</c:v>
                </c:pt>
                <c:pt idx="110">
                  <c:v>41159</c:v>
                </c:pt>
                <c:pt idx="111">
                  <c:v>41162</c:v>
                </c:pt>
                <c:pt idx="112">
                  <c:v>41163</c:v>
                </c:pt>
                <c:pt idx="113">
                  <c:v>41164</c:v>
                </c:pt>
                <c:pt idx="114">
                  <c:v>41165</c:v>
                </c:pt>
                <c:pt idx="115">
                  <c:v>41166</c:v>
                </c:pt>
                <c:pt idx="116">
                  <c:v>41169</c:v>
                </c:pt>
                <c:pt idx="117">
                  <c:v>41170</c:v>
                </c:pt>
                <c:pt idx="118">
                  <c:v>41171</c:v>
                </c:pt>
                <c:pt idx="119">
                  <c:v>41172</c:v>
                </c:pt>
                <c:pt idx="120">
                  <c:v>41173</c:v>
                </c:pt>
                <c:pt idx="121">
                  <c:v>41176</c:v>
                </c:pt>
                <c:pt idx="122">
                  <c:v>41177</c:v>
                </c:pt>
                <c:pt idx="123">
                  <c:v>41178</c:v>
                </c:pt>
                <c:pt idx="124">
                  <c:v>41179</c:v>
                </c:pt>
                <c:pt idx="125">
                  <c:v>41180</c:v>
                </c:pt>
                <c:pt idx="126">
                  <c:v>41183</c:v>
                </c:pt>
                <c:pt idx="127">
                  <c:v>41184</c:v>
                </c:pt>
                <c:pt idx="128">
                  <c:v>41185</c:v>
                </c:pt>
                <c:pt idx="129">
                  <c:v>41186</c:v>
                </c:pt>
                <c:pt idx="130">
                  <c:v>41187</c:v>
                </c:pt>
                <c:pt idx="131">
                  <c:v>41190</c:v>
                </c:pt>
                <c:pt idx="132">
                  <c:v>41191</c:v>
                </c:pt>
                <c:pt idx="133">
                  <c:v>41192</c:v>
                </c:pt>
                <c:pt idx="134">
                  <c:v>41193</c:v>
                </c:pt>
                <c:pt idx="135">
                  <c:v>41194</c:v>
                </c:pt>
                <c:pt idx="136">
                  <c:v>41197</c:v>
                </c:pt>
                <c:pt idx="137">
                  <c:v>41198</c:v>
                </c:pt>
                <c:pt idx="138">
                  <c:v>41199</c:v>
                </c:pt>
                <c:pt idx="139">
                  <c:v>41200</c:v>
                </c:pt>
                <c:pt idx="140">
                  <c:v>41201</c:v>
                </c:pt>
                <c:pt idx="141">
                  <c:v>41204</c:v>
                </c:pt>
                <c:pt idx="142">
                  <c:v>41205</c:v>
                </c:pt>
                <c:pt idx="143">
                  <c:v>41206</c:v>
                </c:pt>
                <c:pt idx="144">
                  <c:v>41207</c:v>
                </c:pt>
                <c:pt idx="145">
                  <c:v>41208</c:v>
                </c:pt>
                <c:pt idx="146">
                  <c:v>41211</c:v>
                </c:pt>
                <c:pt idx="147">
                  <c:v>41212</c:v>
                </c:pt>
                <c:pt idx="148">
                  <c:v>41213</c:v>
                </c:pt>
                <c:pt idx="149">
                  <c:v>41214</c:v>
                </c:pt>
                <c:pt idx="150">
                  <c:v>41215</c:v>
                </c:pt>
                <c:pt idx="151">
                  <c:v>41218</c:v>
                </c:pt>
                <c:pt idx="152">
                  <c:v>41219</c:v>
                </c:pt>
                <c:pt idx="153">
                  <c:v>41220</c:v>
                </c:pt>
                <c:pt idx="154">
                  <c:v>41221</c:v>
                </c:pt>
                <c:pt idx="155">
                  <c:v>41222</c:v>
                </c:pt>
                <c:pt idx="156">
                  <c:v>41225</c:v>
                </c:pt>
                <c:pt idx="157">
                  <c:v>41226</c:v>
                </c:pt>
                <c:pt idx="158">
                  <c:v>41227</c:v>
                </c:pt>
                <c:pt idx="159">
                  <c:v>41228</c:v>
                </c:pt>
                <c:pt idx="160">
                  <c:v>41229</c:v>
                </c:pt>
                <c:pt idx="161">
                  <c:v>41232</c:v>
                </c:pt>
                <c:pt idx="162">
                  <c:v>41233</c:v>
                </c:pt>
                <c:pt idx="163">
                  <c:v>41234</c:v>
                </c:pt>
                <c:pt idx="164">
                  <c:v>41235</c:v>
                </c:pt>
                <c:pt idx="165">
                  <c:v>41236</c:v>
                </c:pt>
                <c:pt idx="166">
                  <c:v>41239</c:v>
                </c:pt>
                <c:pt idx="167">
                  <c:v>41240</c:v>
                </c:pt>
                <c:pt idx="168">
                  <c:v>41241</c:v>
                </c:pt>
                <c:pt idx="169">
                  <c:v>41242</c:v>
                </c:pt>
                <c:pt idx="170">
                  <c:v>41243</c:v>
                </c:pt>
                <c:pt idx="171">
                  <c:v>41246</c:v>
                </c:pt>
                <c:pt idx="172">
                  <c:v>41247</c:v>
                </c:pt>
                <c:pt idx="173">
                  <c:v>41248</c:v>
                </c:pt>
                <c:pt idx="174">
                  <c:v>41249</c:v>
                </c:pt>
                <c:pt idx="175">
                  <c:v>41250</c:v>
                </c:pt>
                <c:pt idx="176">
                  <c:v>41253</c:v>
                </c:pt>
                <c:pt idx="177">
                  <c:v>41254</c:v>
                </c:pt>
                <c:pt idx="178">
                  <c:v>41255</c:v>
                </c:pt>
                <c:pt idx="179">
                  <c:v>41256</c:v>
                </c:pt>
                <c:pt idx="180">
                  <c:v>41257</c:v>
                </c:pt>
                <c:pt idx="181">
                  <c:v>41260</c:v>
                </c:pt>
                <c:pt idx="182">
                  <c:v>41261</c:v>
                </c:pt>
                <c:pt idx="183">
                  <c:v>41262</c:v>
                </c:pt>
                <c:pt idx="184">
                  <c:v>41263</c:v>
                </c:pt>
                <c:pt idx="185">
                  <c:v>41264</c:v>
                </c:pt>
                <c:pt idx="186">
                  <c:v>41270</c:v>
                </c:pt>
                <c:pt idx="187">
                  <c:v>41271</c:v>
                </c:pt>
                <c:pt idx="188">
                  <c:v>41276</c:v>
                </c:pt>
                <c:pt idx="189">
                  <c:v>41277</c:v>
                </c:pt>
                <c:pt idx="190">
                  <c:v>41278</c:v>
                </c:pt>
                <c:pt idx="191">
                  <c:v>41281</c:v>
                </c:pt>
                <c:pt idx="192">
                  <c:v>41282</c:v>
                </c:pt>
                <c:pt idx="193">
                  <c:v>41283</c:v>
                </c:pt>
                <c:pt idx="194">
                  <c:v>41284</c:v>
                </c:pt>
                <c:pt idx="195">
                  <c:v>41285</c:v>
                </c:pt>
                <c:pt idx="196">
                  <c:v>41288</c:v>
                </c:pt>
                <c:pt idx="197">
                  <c:v>41289</c:v>
                </c:pt>
                <c:pt idx="198">
                  <c:v>41290</c:v>
                </c:pt>
                <c:pt idx="199">
                  <c:v>41291</c:v>
                </c:pt>
                <c:pt idx="200">
                  <c:v>41292</c:v>
                </c:pt>
                <c:pt idx="201">
                  <c:v>41295</c:v>
                </c:pt>
                <c:pt idx="202">
                  <c:v>41296</c:v>
                </c:pt>
                <c:pt idx="203">
                  <c:v>41297</c:v>
                </c:pt>
                <c:pt idx="204">
                  <c:v>41298</c:v>
                </c:pt>
                <c:pt idx="205">
                  <c:v>41299</c:v>
                </c:pt>
                <c:pt idx="206">
                  <c:v>41302</c:v>
                </c:pt>
                <c:pt idx="207">
                  <c:v>41303</c:v>
                </c:pt>
                <c:pt idx="208">
                  <c:v>41304</c:v>
                </c:pt>
                <c:pt idx="209">
                  <c:v>41305</c:v>
                </c:pt>
                <c:pt idx="210">
                  <c:v>41306</c:v>
                </c:pt>
                <c:pt idx="211">
                  <c:v>41309</c:v>
                </c:pt>
                <c:pt idx="212">
                  <c:v>41310</c:v>
                </c:pt>
                <c:pt idx="213">
                  <c:v>41311</c:v>
                </c:pt>
                <c:pt idx="214">
                  <c:v>41312</c:v>
                </c:pt>
                <c:pt idx="215">
                  <c:v>41313</c:v>
                </c:pt>
                <c:pt idx="216">
                  <c:v>41316</c:v>
                </c:pt>
                <c:pt idx="217">
                  <c:v>41317</c:v>
                </c:pt>
                <c:pt idx="218">
                  <c:v>41318</c:v>
                </c:pt>
                <c:pt idx="219">
                  <c:v>41319</c:v>
                </c:pt>
                <c:pt idx="220">
                  <c:v>41320</c:v>
                </c:pt>
                <c:pt idx="221">
                  <c:v>41323</c:v>
                </c:pt>
                <c:pt idx="222">
                  <c:v>41324</c:v>
                </c:pt>
                <c:pt idx="223">
                  <c:v>41325</c:v>
                </c:pt>
                <c:pt idx="224">
                  <c:v>41326</c:v>
                </c:pt>
                <c:pt idx="225">
                  <c:v>41327</c:v>
                </c:pt>
                <c:pt idx="226">
                  <c:v>41330</c:v>
                </c:pt>
                <c:pt idx="227">
                  <c:v>41331</c:v>
                </c:pt>
                <c:pt idx="228">
                  <c:v>41332</c:v>
                </c:pt>
                <c:pt idx="229">
                  <c:v>41333</c:v>
                </c:pt>
                <c:pt idx="230">
                  <c:v>41334</c:v>
                </c:pt>
                <c:pt idx="231">
                  <c:v>41337</c:v>
                </c:pt>
                <c:pt idx="232">
                  <c:v>41338</c:v>
                </c:pt>
                <c:pt idx="233">
                  <c:v>41339</c:v>
                </c:pt>
                <c:pt idx="234">
                  <c:v>41340</c:v>
                </c:pt>
                <c:pt idx="235">
                  <c:v>41341</c:v>
                </c:pt>
                <c:pt idx="236">
                  <c:v>41344</c:v>
                </c:pt>
                <c:pt idx="237">
                  <c:v>41345</c:v>
                </c:pt>
                <c:pt idx="238">
                  <c:v>41346</c:v>
                </c:pt>
                <c:pt idx="239">
                  <c:v>41347</c:v>
                </c:pt>
                <c:pt idx="240">
                  <c:v>41348</c:v>
                </c:pt>
                <c:pt idx="241">
                  <c:v>41351</c:v>
                </c:pt>
                <c:pt idx="242">
                  <c:v>41352</c:v>
                </c:pt>
                <c:pt idx="243">
                  <c:v>41353</c:v>
                </c:pt>
                <c:pt idx="244">
                  <c:v>41354</c:v>
                </c:pt>
                <c:pt idx="245">
                  <c:v>41355</c:v>
                </c:pt>
                <c:pt idx="246">
                  <c:v>41358</c:v>
                </c:pt>
                <c:pt idx="247">
                  <c:v>41359</c:v>
                </c:pt>
                <c:pt idx="248">
                  <c:v>41360</c:v>
                </c:pt>
                <c:pt idx="249">
                  <c:v>41361</c:v>
                </c:pt>
                <c:pt idx="250">
                  <c:v>41366</c:v>
                </c:pt>
                <c:pt idx="251">
                  <c:v>41367</c:v>
                </c:pt>
                <c:pt idx="252">
                  <c:v>41368</c:v>
                </c:pt>
                <c:pt idx="253">
                  <c:v>41369</c:v>
                </c:pt>
                <c:pt idx="254">
                  <c:v>41372</c:v>
                </c:pt>
                <c:pt idx="255">
                  <c:v>41373</c:v>
                </c:pt>
                <c:pt idx="256">
                  <c:v>41374</c:v>
                </c:pt>
                <c:pt idx="257">
                  <c:v>41375</c:v>
                </c:pt>
                <c:pt idx="258">
                  <c:v>41376</c:v>
                </c:pt>
                <c:pt idx="259">
                  <c:v>41379</c:v>
                </c:pt>
                <c:pt idx="260">
                  <c:v>41380</c:v>
                </c:pt>
                <c:pt idx="261">
                  <c:v>41381</c:v>
                </c:pt>
                <c:pt idx="262">
                  <c:v>41382</c:v>
                </c:pt>
                <c:pt idx="263">
                  <c:v>41383</c:v>
                </c:pt>
                <c:pt idx="264">
                  <c:v>41386</c:v>
                </c:pt>
                <c:pt idx="265">
                  <c:v>41387</c:v>
                </c:pt>
                <c:pt idx="266">
                  <c:v>41388</c:v>
                </c:pt>
                <c:pt idx="267">
                  <c:v>41389</c:v>
                </c:pt>
                <c:pt idx="268">
                  <c:v>41390</c:v>
                </c:pt>
                <c:pt idx="269">
                  <c:v>41393</c:v>
                </c:pt>
                <c:pt idx="270">
                  <c:v>41394</c:v>
                </c:pt>
                <c:pt idx="271">
                  <c:v>41396</c:v>
                </c:pt>
                <c:pt idx="272">
                  <c:v>41397</c:v>
                </c:pt>
                <c:pt idx="273">
                  <c:v>41400</c:v>
                </c:pt>
                <c:pt idx="274">
                  <c:v>41401</c:v>
                </c:pt>
                <c:pt idx="275">
                  <c:v>41402</c:v>
                </c:pt>
                <c:pt idx="276">
                  <c:v>41403</c:v>
                </c:pt>
                <c:pt idx="277">
                  <c:v>41404</c:v>
                </c:pt>
                <c:pt idx="278">
                  <c:v>41407</c:v>
                </c:pt>
                <c:pt idx="279">
                  <c:v>41408</c:v>
                </c:pt>
                <c:pt idx="280">
                  <c:v>41409</c:v>
                </c:pt>
                <c:pt idx="281">
                  <c:v>41410</c:v>
                </c:pt>
                <c:pt idx="282">
                  <c:v>41411</c:v>
                </c:pt>
                <c:pt idx="283">
                  <c:v>41414</c:v>
                </c:pt>
                <c:pt idx="284">
                  <c:v>41415</c:v>
                </c:pt>
                <c:pt idx="285">
                  <c:v>41416</c:v>
                </c:pt>
                <c:pt idx="286">
                  <c:v>41417</c:v>
                </c:pt>
                <c:pt idx="287">
                  <c:v>41418</c:v>
                </c:pt>
                <c:pt idx="288">
                  <c:v>41421</c:v>
                </c:pt>
                <c:pt idx="289">
                  <c:v>41422</c:v>
                </c:pt>
                <c:pt idx="290">
                  <c:v>41423</c:v>
                </c:pt>
                <c:pt idx="291">
                  <c:v>41424</c:v>
                </c:pt>
                <c:pt idx="292">
                  <c:v>41425</c:v>
                </c:pt>
                <c:pt idx="293">
                  <c:v>41428</c:v>
                </c:pt>
                <c:pt idx="294">
                  <c:v>41429</c:v>
                </c:pt>
                <c:pt idx="295">
                  <c:v>41430</c:v>
                </c:pt>
                <c:pt idx="296">
                  <c:v>41431</c:v>
                </c:pt>
                <c:pt idx="297">
                  <c:v>41432</c:v>
                </c:pt>
                <c:pt idx="298">
                  <c:v>41435</c:v>
                </c:pt>
                <c:pt idx="299">
                  <c:v>41436</c:v>
                </c:pt>
                <c:pt idx="300">
                  <c:v>41437</c:v>
                </c:pt>
                <c:pt idx="301">
                  <c:v>41438</c:v>
                </c:pt>
                <c:pt idx="302">
                  <c:v>41439</c:v>
                </c:pt>
                <c:pt idx="303">
                  <c:v>41442</c:v>
                </c:pt>
                <c:pt idx="304">
                  <c:v>41443</c:v>
                </c:pt>
                <c:pt idx="305">
                  <c:v>41444</c:v>
                </c:pt>
                <c:pt idx="306">
                  <c:v>41445</c:v>
                </c:pt>
                <c:pt idx="307">
                  <c:v>41446</c:v>
                </c:pt>
                <c:pt idx="308">
                  <c:v>41449</c:v>
                </c:pt>
                <c:pt idx="309">
                  <c:v>41450</c:v>
                </c:pt>
                <c:pt idx="310">
                  <c:v>41451</c:v>
                </c:pt>
                <c:pt idx="311">
                  <c:v>41452</c:v>
                </c:pt>
                <c:pt idx="312">
                  <c:v>41453</c:v>
                </c:pt>
                <c:pt idx="313">
                  <c:v>41456</c:v>
                </c:pt>
                <c:pt idx="314">
                  <c:v>41457</c:v>
                </c:pt>
                <c:pt idx="315">
                  <c:v>41458</c:v>
                </c:pt>
                <c:pt idx="316">
                  <c:v>41459</c:v>
                </c:pt>
                <c:pt idx="317">
                  <c:v>41460</c:v>
                </c:pt>
                <c:pt idx="318">
                  <c:v>41463</c:v>
                </c:pt>
                <c:pt idx="319">
                  <c:v>41464</c:v>
                </c:pt>
                <c:pt idx="320">
                  <c:v>41465</c:v>
                </c:pt>
                <c:pt idx="321">
                  <c:v>41466</c:v>
                </c:pt>
                <c:pt idx="322">
                  <c:v>41467</c:v>
                </c:pt>
                <c:pt idx="323">
                  <c:v>41470</c:v>
                </c:pt>
                <c:pt idx="324">
                  <c:v>41471</c:v>
                </c:pt>
                <c:pt idx="325">
                  <c:v>41472</c:v>
                </c:pt>
                <c:pt idx="326">
                  <c:v>41473</c:v>
                </c:pt>
                <c:pt idx="327">
                  <c:v>41474</c:v>
                </c:pt>
                <c:pt idx="328">
                  <c:v>41477</c:v>
                </c:pt>
                <c:pt idx="329">
                  <c:v>41478</c:v>
                </c:pt>
                <c:pt idx="330">
                  <c:v>41479</c:v>
                </c:pt>
                <c:pt idx="331">
                  <c:v>41480</c:v>
                </c:pt>
                <c:pt idx="332">
                  <c:v>41481</c:v>
                </c:pt>
                <c:pt idx="333">
                  <c:v>41484</c:v>
                </c:pt>
                <c:pt idx="334">
                  <c:v>41485</c:v>
                </c:pt>
                <c:pt idx="335">
                  <c:v>41486</c:v>
                </c:pt>
                <c:pt idx="336">
                  <c:v>41487</c:v>
                </c:pt>
                <c:pt idx="337">
                  <c:v>41488</c:v>
                </c:pt>
                <c:pt idx="338">
                  <c:v>41491</c:v>
                </c:pt>
                <c:pt idx="339">
                  <c:v>41492</c:v>
                </c:pt>
                <c:pt idx="340">
                  <c:v>41493</c:v>
                </c:pt>
                <c:pt idx="341">
                  <c:v>41494</c:v>
                </c:pt>
                <c:pt idx="342">
                  <c:v>41495</c:v>
                </c:pt>
                <c:pt idx="343">
                  <c:v>41498</c:v>
                </c:pt>
                <c:pt idx="344">
                  <c:v>41499</c:v>
                </c:pt>
                <c:pt idx="345">
                  <c:v>41500</c:v>
                </c:pt>
                <c:pt idx="346">
                  <c:v>41502</c:v>
                </c:pt>
                <c:pt idx="347">
                  <c:v>41505</c:v>
                </c:pt>
                <c:pt idx="348">
                  <c:v>41506</c:v>
                </c:pt>
                <c:pt idx="349">
                  <c:v>41507</c:v>
                </c:pt>
                <c:pt idx="350">
                  <c:v>41508</c:v>
                </c:pt>
                <c:pt idx="351">
                  <c:v>41509</c:v>
                </c:pt>
                <c:pt idx="352">
                  <c:v>41512</c:v>
                </c:pt>
                <c:pt idx="353">
                  <c:v>41513</c:v>
                </c:pt>
                <c:pt idx="354">
                  <c:v>41514</c:v>
                </c:pt>
                <c:pt idx="355">
                  <c:v>41515</c:v>
                </c:pt>
                <c:pt idx="356">
                  <c:v>41516</c:v>
                </c:pt>
                <c:pt idx="357">
                  <c:v>41519</c:v>
                </c:pt>
                <c:pt idx="358">
                  <c:v>41520</c:v>
                </c:pt>
                <c:pt idx="359">
                  <c:v>41521</c:v>
                </c:pt>
                <c:pt idx="360">
                  <c:v>41522</c:v>
                </c:pt>
                <c:pt idx="361">
                  <c:v>41523</c:v>
                </c:pt>
                <c:pt idx="362">
                  <c:v>41526</c:v>
                </c:pt>
                <c:pt idx="363">
                  <c:v>41527</c:v>
                </c:pt>
                <c:pt idx="364">
                  <c:v>41528</c:v>
                </c:pt>
                <c:pt idx="365">
                  <c:v>41529</c:v>
                </c:pt>
                <c:pt idx="366">
                  <c:v>41530</c:v>
                </c:pt>
                <c:pt idx="367">
                  <c:v>41533</c:v>
                </c:pt>
                <c:pt idx="368">
                  <c:v>41534</c:v>
                </c:pt>
                <c:pt idx="369">
                  <c:v>41535</c:v>
                </c:pt>
                <c:pt idx="370">
                  <c:v>41536</c:v>
                </c:pt>
                <c:pt idx="371">
                  <c:v>41537</c:v>
                </c:pt>
                <c:pt idx="372">
                  <c:v>41540</c:v>
                </c:pt>
                <c:pt idx="373">
                  <c:v>41541</c:v>
                </c:pt>
                <c:pt idx="374">
                  <c:v>41542</c:v>
                </c:pt>
                <c:pt idx="375">
                  <c:v>41543</c:v>
                </c:pt>
                <c:pt idx="376">
                  <c:v>41544</c:v>
                </c:pt>
                <c:pt idx="377">
                  <c:v>41547</c:v>
                </c:pt>
                <c:pt idx="378">
                  <c:v>41548</c:v>
                </c:pt>
                <c:pt idx="379">
                  <c:v>41549</c:v>
                </c:pt>
                <c:pt idx="380">
                  <c:v>41550</c:v>
                </c:pt>
                <c:pt idx="381">
                  <c:v>41551</c:v>
                </c:pt>
                <c:pt idx="382">
                  <c:v>41554</c:v>
                </c:pt>
                <c:pt idx="383">
                  <c:v>41555</c:v>
                </c:pt>
                <c:pt idx="384">
                  <c:v>41556</c:v>
                </c:pt>
                <c:pt idx="385">
                  <c:v>41557</c:v>
                </c:pt>
                <c:pt idx="386">
                  <c:v>41558</c:v>
                </c:pt>
                <c:pt idx="387">
                  <c:v>41561</c:v>
                </c:pt>
                <c:pt idx="388">
                  <c:v>41562</c:v>
                </c:pt>
                <c:pt idx="389">
                  <c:v>41563</c:v>
                </c:pt>
                <c:pt idx="390">
                  <c:v>41564</c:v>
                </c:pt>
                <c:pt idx="391">
                  <c:v>41565</c:v>
                </c:pt>
                <c:pt idx="392">
                  <c:v>41568</c:v>
                </c:pt>
                <c:pt idx="393">
                  <c:v>41569</c:v>
                </c:pt>
                <c:pt idx="394">
                  <c:v>41570</c:v>
                </c:pt>
                <c:pt idx="395">
                  <c:v>41571</c:v>
                </c:pt>
                <c:pt idx="396">
                  <c:v>41572</c:v>
                </c:pt>
                <c:pt idx="397">
                  <c:v>41575</c:v>
                </c:pt>
                <c:pt idx="398">
                  <c:v>41576</c:v>
                </c:pt>
                <c:pt idx="399">
                  <c:v>41577</c:v>
                </c:pt>
                <c:pt idx="400">
                  <c:v>41578</c:v>
                </c:pt>
                <c:pt idx="401">
                  <c:v>41579</c:v>
                </c:pt>
                <c:pt idx="402">
                  <c:v>41582</c:v>
                </c:pt>
                <c:pt idx="403">
                  <c:v>41583</c:v>
                </c:pt>
                <c:pt idx="404">
                  <c:v>41584</c:v>
                </c:pt>
                <c:pt idx="405">
                  <c:v>41585</c:v>
                </c:pt>
                <c:pt idx="406">
                  <c:v>41586</c:v>
                </c:pt>
                <c:pt idx="407">
                  <c:v>41589</c:v>
                </c:pt>
                <c:pt idx="408">
                  <c:v>41590</c:v>
                </c:pt>
                <c:pt idx="409">
                  <c:v>41591</c:v>
                </c:pt>
                <c:pt idx="410">
                  <c:v>41592</c:v>
                </c:pt>
                <c:pt idx="411">
                  <c:v>41593</c:v>
                </c:pt>
                <c:pt idx="412">
                  <c:v>41596</c:v>
                </c:pt>
                <c:pt idx="413">
                  <c:v>41597</c:v>
                </c:pt>
                <c:pt idx="414">
                  <c:v>41598</c:v>
                </c:pt>
                <c:pt idx="415">
                  <c:v>41599</c:v>
                </c:pt>
                <c:pt idx="416">
                  <c:v>41600</c:v>
                </c:pt>
                <c:pt idx="417">
                  <c:v>41603</c:v>
                </c:pt>
                <c:pt idx="418">
                  <c:v>41604</c:v>
                </c:pt>
                <c:pt idx="419">
                  <c:v>41605</c:v>
                </c:pt>
                <c:pt idx="420">
                  <c:v>41606</c:v>
                </c:pt>
                <c:pt idx="421">
                  <c:v>41607</c:v>
                </c:pt>
                <c:pt idx="422">
                  <c:v>41610</c:v>
                </c:pt>
                <c:pt idx="423">
                  <c:v>41611</c:v>
                </c:pt>
                <c:pt idx="424">
                  <c:v>41612</c:v>
                </c:pt>
                <c:pt idx="425">
                  <c:v>41613</c:v>
                </c:pt>
                <c:pt idx="426">
                  <c:v>41614</c:v>
                </c:pt>
                <c:pt idx="427">
                  <c:v>41617</c:v>
                </c:pt>
                <c:pt idx="428">
                  <c:v>41618</c:v>
                </c:pt>
                <c:pt idx="429">
                  <c:v>41619</c:v>
                </c:pt>
                <c:pt idx="430">
                  <c:v>41620</c:v>
                </c:pt>
                <c:pt idx="431">
                  <c:v>41621</c:v>
                </c:pt>
                <c:pt idx="432">
                  <c:v>41624</c:v>
                </c:pt>
                <c:pt idx="433">
                  <c:v>41625</c:v>
                </c:pt>
                <c:pt idx="434">
                  <c:v>41626</c:v>
                </c:pt>
                <c:pt idx="435">
                  <c:v>41627</c:v>
                </c:pt>
                <c:pt idx="436">
                  <c:v>41628</c:v>
                </c:pt>
                <c:pt idx="437">
                  <c:v>41631</c:v>
                </c:pt>
                <c:pt idx="438">
                  <c:v>41635</c:v>
                </c:pt>
                <c:pt idx="439">
                  <c:v>41638</c:v>
                </c:pt>
                <c:pt idx="440">
                  <c:v>41641</c:v>
                </c:pt>
                <c:pt idx="441">
                  <c:v>41642</c:v>
                </c:pt>
                <c:pt idx="442">
                  <c:v>41645</c:v>
                </c:pt>
                <c:pt idx="443">
                  <c:v>41646</c:v>
                </c:pt>
                <c:pt idx="444">
                  <c:v>41647</c:v>
                </c:pt>
                <c:pt idx="445">
                  <c:v>41648</c:v>
                </c:pt>
                <c:pt idx="446">
                  <c:v>41649</c:v>
                </c:pt>
                <c:pt idx="447">
                  <c:v>41652</c:v>
                </c:pt>
                <c:pt idx="448">
                  <c:v>41653</c:v>
                </c:pt>
                <c:pt idx="449">
                  <c:v>41654</c:v>
                </c:pt>
                <c:pt idx="450">
                  <c:v>41655</c:v>
                </c:pt>
                <c:pt idx="451">
                  <c:v>41656</c:v>
                </c:pt>
                <c:pt idx="452">
                  <c:v>41659</c:v>
                </c:pt>
                <c:pt idx="453">
                  <c:v>41660</c:v>
                </c:pt>
                <c:pt idx="454">
                  <c:v>41661</c:v>
                </c:pt>
                <c:pt idx="455">
                  <c:v>41662</c:v>
                </c:pt>
                <c:pt idx="456">
                  <c:v>41663</c:v>
                </c:pt>
                <c:pt idx="457">
                  <c:v>41666</c:v>
                </c:pt>
                <c:pt idx="458">
                  <c:v>41667</c:v>
                </c:pt>
                <c:pt idx="459">
                  <c:v>41668</c:v>
                </c:pt>
                <c:pt idx="460">
                  <c:v>41669</c:v>
                </c:pt>
                <c:pt idx="461">
                  <c:v>41670</c:v>
                </c:pt>
                <c:pt idx="462">
                  <c:v>41673</c:v>
                </c:pt>
                <c:pt idx="463">
                  <c:v>41674</c:v>
                </c:pt>
                <c:pt idx="464">
                  <c:v>41675</c:v>
                </c:pt>
                <c:pt idx="465">
                  <c:v>41676</c:v>
                </c:pt>
                <c:pt idx="466">
                  <c:v>41677</c:v>
                </c:pt>
                <c:pt idx="467">
                  <c:v>41680</c:v>
                </c:pt>
                <c:pt idx="468">
                  <c:v>41681</c:v>
                </c:pt>
                <c:pt idx="469">
                  <c:v>41682</c:v>
                </c:pt>
                <c:pt idx="470">
                  <c:v>41683</c:v>
                </c:pt>
                <c:pt idx="471">
                  <c:v>41684</c:v>
                </c:pt>
                <c:pt idx="472">
                  <c:v>41687</c:v>
                </c:pt>
                <c:pt idx="473">
                  <c:v>41688</c:v>
                </c:pt>
                <c:pt idx="474">
                  <c:v>41689</c:v>
                </c:pt>
                <c:pt idx="475">
                  <c:v>41690</c:v>
                </c:pt>
                <c:pt idx="476">
                  <c:v>41691</c:v>
                </c:pt>
                <c:pt idx="477">
                  <c:v>41694</c:v>
                </c:pt>
                <c:pt idx="478">
                  <c:v>41695</c:v>
                </c:pt>
                <c:pt idx="479">
                  <c:v>41696</c:v>
                </c:pt>
                <c:pt idx="480">
                  <c:v>41697</c:v>
                </c:pt>
                <c:pt idx="481">
                  <c:v>41698</c:v>
                </c:pt>
                <c:pt idx="482">
                  <c:v>41701</c:v>
                </c:pt>
                <c:pt idx="483">
                  <c:v>41702</c:v>
                </c:pt>
                <c:pt idx="484">
                  <c:v>41703</c:v>
                </c:pt>
                <c:pt idx="485">
                  <c:v>41704</c:v>
                </c:pt>
                <c:pt idx="486">
                  <c:v>41705</c:v>
                </c:pt>
                <c:pt idx="487">
                  <c:v>41708</c:v>
                </c:pt>
                <c:pt idx="488">
                  <c:v>41709</c:v>
                </c:pt>
                <c:pt idx="489">
                  <c:v>41710</c:v>
                </c:pt>
                <c:pt idx="490">
                  <c:v>41711</c:v>
                </c:pt>
                <c:pt idx="491">
                  <c:v>41712</c:v>
                </c:pt>
                <c:pt idx="492">
                  <c:v>41715</c:v>
                </c:pt>
                <c:pt idx="493">
                  <c:v>41716</c:v>
                </c:pt>
                <c:pt idx="494">
                  <c:v>41717</c:v>
                </c:pt>
                <c:pt idx="495">
                  <c:v>41718</c:v>
                </c:pt>
                <c:pt idx="496">
                  <c:v>41719</c:v>
                </c:pt>
                <c:pt idx="497">
                  <c:v>41722</c:v>
                </c:pt>
                <c:pt idx="498">
                  <c:v>41723</c:v>
                </c:pt>
                <c:pt idx="499">
                  <c:v>41724</c:v>
                </c:pt>
                <c:pt idx="500">
                  <c:v>41725</c:v>
                </c:pt>
                <c:pt idx="501">
                  <c:v>41726</c:v>
                </c:pt>
                <c:pt idx="502">
                  <c:v>41729</c:v>
                </c:pt>
                <c:pt idx="503">
                  <c:v>41730</c:v>
                </c:pt>
                <c:pt idx="504">
                  <c:v>41731</c:v>
                </c:pt>
                <c:pt idx="505">
                  <c:v>41732</c:v>
                </c:pt>
                <c:pt idx="506">
                  <c:v>41733</c:v>
                </c:pt>
                <c:pt idx="507">
                  <c:v>41736</c:v>
                </c:pt>
                <c:pt idx="508">
                  <c:v>41737</c:v>
                </c:pt>
                <c:pt idx="509">
                  <c:v>41738</c:v>
                </c:pt>
                <c:pt idx="510">
                  <c:v>41739</c:v>
                </c:pt>
                <c:pt idx="511">
                  <c:v>41740</c:v>
                </c:pt>
                <c:pt idx="512">
                  <c:v>41743</c:v>
                </c:pt>
                <c:pt idx="513">
                  <c:v>41744</c:v>
                </c:pt>
                <c:pt idx="514">
                  <c:v>41745</c:v>
                </c:pt>
                <c:pt idx="515">
                  <c:v>41746</c:v>
                </c:pt>
                <c:pt idx="516">
                  <c:v>41751</c:v>
                </c:pt>
                <c:pt idx="517">
                  <c:v>41752</c:v>
                </c:pt>
                <c:pt idx="518">
                  <c:v>41753</c:v>
                </c:pt>
                <c:pt idx="519">
                  <c:v>41754</c:v>
                </c:pt>
                <c:pt idx="520">
                  <c:v>41757</c:v>
                </c:pt>
                <c:pt idx="521">
                  <c:v>41758</c:v>
                </c:pt>
                <c:pt idx="522">
                  <c:v>41759</c:v>
                </c:pt>
                <c:pt idx="523">
                  <c:v>41761</c:v>
                </c:pt>
                <c:pt idx="524">
                  <c:v>41764</c:v>
                </c:pt>
                <c:pt idx="525">
                  <c:v>41765</c:v>
                </c:pt>
                <c:pt idx="526">
                  <c:v>41766</c:v>
                </c:pt>
                <c:pt idx="527">
                  <c:v>41767</c:v>
                </c:pt>
                <c:pt idx="528">
                  <c:v>41768</c:v>
                </c:pt>
                <c:pt idx="529">
                  <c:v>41771</c:v>
                </c:pt>
                <c:pt idx="530">
                  <c:v>41772</c:v>
                </c:pt>
                <c:pt idx="531">
                  <c:v>41773</c:v>
                </c:pt>
                <c:pt idx="532">
                  <c:v>41774</c:v>
                </c:pt>
                <c:pt idx="533">
                  <c:v>41775</c:v>
                </c:pt>
                <c:pt idx="534">
                  <c:v>41778</c:v>
                </c:pt>
                <c:pt idx="535">
                  <c:v>41779</c:v>
                </c:pt>
                <c:pt idx="536">
                  <c:v>41780</c:v>
                </c:pt>
                <c:pt idx="537">
                  <c:v>41781</c:v>
                </c:pt>
                <c:pt idx="538">
                  <c:v>41782</c:v>
                </c:pt>
                <c:pt idx="539">
                  <c:v>41785</c:v>
                </c:pt>
                <c:pt idx="540">
                  <c:v>41786</c:v>
                </c:pt>
                <c:pt idx="541">
                  <c:v>41787</c:v>
                </c:pt>
                <c:pt idx="542">
                  <c:v>41788</c:v>
                </c:pt>
                <c:pt idx="543">
                  <c:v>41789</c:v>
                </c:pt>
                <c:pt idx="544">
                  <c:v>41792</c:v>
                </c:pt>
                <c:pt idx="545">
                  <c:v>41793</c:v>
                </c:pt>
                <c:pt idx="546">
                  <c:v>41794</c:v>
                </c:pt>
                <c:pt idx="547">
                  <c:v>41795</c:v>
                </c:pt>
                <c:pt idx="548">
                  <c:v>41796</c:v>
                </c:pt>
                <c:pt idx="549">
                  <c:v>41799</c:v>
                </c:pt>
                <c:pt idx="550">
                  <c:v>41800</c:v>
                </c:pt>
                <c:pt idx="551">
                  <c:v>41801</c:v>
                </c:pt>
                <c:pt idx="552">
                  <c:v>41802</c:v>
                </c:pt>
                <c:pt idx="553">
                  <c:v>41803</c:v>
                </c:pt>
                <c:pt idx="554">
                  <c:v>41806</c:v>
                </c:pt>
                <c:pt idx="555">
                  <c:v>41807</c:v>
                </c:pt>
                <c:pt idx="556">
                  <c:v>41808</c:v>
                </c:pt>
                <c:pt idx="557">
                  <c:v>41809</c:v>
                </c:pt>
                <c:pt idx="558">
                  <c:v>41810</c:v>
                </c:pt>
                <c:pt idx="559">
                  <c:v>41813</c:v>
                </c:pt>
                <c:pt idx="560">
                  <c:v>41814</c:v>
                </c:pt>
                <c:pt idx="561">
                  <c:v>41815</c:v>
                </c:pt>
                <c:pt idx="562">
                  <c:v>41816</c:v>
                </c:pt>
                <c:pt idx="563">
                  <c:v>41817</c:v>
                </c:pt>
                <c:pt idx="564">
                  <c:v>41820</c:v>
                </c:pt>
                <c:pt idx="565">
                  <c:v>41821</c:v>
                </c:pt>
                <c:pt idx="566">
                  <c:v>41822</c:v>
                </c:pt>
                <c:pt idx="567">
                  <c:v>41823</c:v>
                </c:pt>
                <c:pt idx="568">
                  <c:v>41824</c:v>
                </c:pt>
                <c:pt idx="569">
                  <c:v>41827</c:v>
                </c:pt>
                <c:pt idx="570">
                  <c:v>41828</c:v>
                </c:pt>
                <c:pt idx="571">
                  <c:v>41829</c:v>
                </c:pt>
                <c:pt idx="572">
                  <c:v>41830</c:v>
                </c:pt>
                <c:pt idx="573">
                  <c:v>41831</c:v>
                </c:pt>
                <c:pt idx="574">
                  <c:v>41834</c:v>
                </c:pt>
                <c:pt idx="575">
                  <c:v>41835</c:v>
                </c:pt>
                <c:pt idx="576">
                  <c:v>41836</c:v>
                </c:pt>
                <c:pt idx="577">
                  <c:v>41837</c:v>
                </c:pt>
                <c:pt idx="578">
                  <c:v>41838</c:v>
                </c:pt>
                <c:pt idx="579">
                  <c:v>41841</c:v>
                </c:pt>
                <c:pt idx="580">
                  <c:v>41842</c:v>
                </c:pt>
                <c:pt idx="581">
                  <c:v>41843</c:v>
                </c:pt>
                <c:pt idx="582">
                  <c:v>41844</c:v>
                </c:pt>
                <c:pt idx="583">
                  <c:v>41845</c:v>
                </c:pt>
                <c:pt idx="584">
                  <c:v>41848</c:v>
                </c:pt>
                <c:pt idx="585">
                  <c:v>41849</c:v>
                </c:pt>
                <c:pt idx="586">
                  <c:v>41850</c:v>
                </c:pt>
                <c:pt idx="587">
                  <c:v>41851</c:v>
                </c:pt>
                <c:pt idx="588">
                  <c:v>41852</c:v>
                </c:pt>
                <c:pt idx="589">
                  <c:v>41855</c:v>
                </c:pt>
                <c:pt idx="590">
                  <c:v>41856</c:v>
                </c:pt>
                <c:pt idx="591">
                  <c:v>41857</c:v>
                </c:pt>
                <c:pt idx="592">
                  <c:v>41858</c:v>
                </c:pt>
                <c:pt idx="593">
                  <c:v>41859</c:v>
                </c:pt>
                <c:pt idx="594">
                  <c:v>41862</c:v>
                </c:pt>
                <c:pt idx="595">
                  <c:v>41863</c:v>
                </c:pt>
                <c:pt idx="596">
                  <c:v>41864</c:v>
                </c:pt>
                <c:pt idx="597">
                  <c:v>41865</c:v>
                </c:pt>
                <c:pt idx="598">
                  <c:v>41869</c:v>
                </c:pt>
                <c:pt idx="599">
                  <c:v>41870</c:v>
                </c:pt>
                <c:pt idx="600">
                  <c:v>41871</c:v>
                </c:pt>
                <c:pt idx="601">
                  <c:v>41872</c:v>
                </c:pt>
                <c:pt idx="602">
                  <c:v>41873</c:v>
                </c:pt>
                <c:pt idx="603">
                  <c:v>41876</c:v>
                </c:pt>
                <c:pt idx="604">
                  <c:v>41877</c:v>
                </c:pt>
                <c:pt idx="605">
                  <c:v>41878</c:v>
                </c:pt>
                <c:pt idx="606">
                  <c:v>41879</c:v>
                </c:pt>
                <c:pt idx="607">
                  <c:v>41880</c:v>
                </c:pt>
                <c:pt idx="608">
                  <c:v>41883</c:v>
                </c:pt>
                <c:pt idx="609">
                  <c:v>41884</c:v>
                </c:pt>
                <c:pt idx="610">
                  <c:v>41885</c:v>
                </c:pt>
                <c:pt idx="611">
                  <c:v>41886</c:v>
                </c:pt>
                <c:pt idx="612">
                  <c:v>41887</c:v>
                </c:pt>
                <c:pt idx="613">
                  <c:v>41890</c:v>
                </c:pt>
                <c:pt idx="614">
                  <c:v>41891</c:v>
                </c:pt>
                <c:pt idx="615">
                  <c:v>41892</c:v>
                </c:pt>
                <c:pt idx="616">
                  <c:v>41893</c:v>
                </c:pt>
                <c:pt idx="617">
                  <c:v>41894</c:v>
                </c:pt>
                <c:pt idx="618">
                  <c:v>41897</c:v>
                </c:pt>
                <c:pt idx="619">
                  <c:v>41898</c:v>
                </c:pt>
                <c:pt idx="620">
                  <c:v>41899</c:v>
                </c:pt>
                <c:pt idx="621">
                  <c:v>41900</c:v>
                </c:pt>
                <c:pt idx="622">
                  <c:v>41901</c:v>
                </c:pt>
                <c:pt idx="623">
                  <c:v>41904</c:v>
                </c:pt>
                <c:pt idx="624">
                  <c:v>41905</c:v>
                </c:pt>
                <c:pt idx="625">
                  <c:v>41906</c:v>
                </c:pt>
                <c:pt idx="626">
                  <c:v>41907</c:v>
                </c:pt>
                <c:pt idx="627">
                  <c:v>41908</c:v>
                </c:pt>
                <c:pt idx="628">
                  <c:v>41911</c:v>
                </c:pt>
                <c:pt idx="629">
                  <c:v>41912</c:v>
                </c:pt>
                <c:pt idx="630">
                  <c:v>41913</c:v>
                </c:pt>
                <c:pt idx="631">
                  <c:v>41914</c:v>
                </c:pt>
                <c:pt idx="632">
                  <c:v>41915</c:v>
                </c:pt>
                <c:pt idx="633">
                  <c:v>41918</c:v>
                </c:pt>
                <c:pt idx="634">
                  <c:v>41919</c:v>
                </c:pt>
                <c:pt idx="635">
                  <c:v>41920</c:v>
                </c:pt>
                <c:pt idx="636">
                  <c:v>41921</c:v>
                </c:pt>
                <c:pt idx="637">
                  <c:v>41922</c:v>
                </c:pt>
                <c:pt idx="638">
                  <c:v>41925</c:v>
                </c:pt>
                <c:pt idx="639">
                  <c:v>41926</c:v>
                </c:pt>
                <c:pt idx="640">
                  <c:v>41927</c:v>
                </c:pt>
                <c:pt idx="641">
                  <c:v>41928</c:v>
                </c:pt>
                <c:pt idx="642">
                  <c:v>41929</c:v>
                </c:pt>
                <c:pt idx="643">
                  <c:v>41932</c:v>
                </c:pt>
                <c:pt idx="644">
                  <c:v>41933</c:v>
                </c:pt>
                <c:pt idx="645">
                  <c:v>41934</c:v>
                </c:pt>
                <c:pt idx="646">
                  <c:v>41935</c:v>
                </c:pt>
                <c:pt idx="647">
                  <c:v>41936</c:v>
                </c:pt>
                <c:pt idx="648">
                  <c:v>41939</c:v>
                </c:pt>
                <c:pt idx="649">
                  <c:v>41940</c:v>
                </c:pt>
                <c:pt idx="650">
                  <c:v>41941</c:v>
                </c:pt>
                <c:pt idx="651">
                  <c:v>41942</c:v>
                </c:pt>
                <c:pt idx="652">
                  <c:v>41943</c:v>
                </c:pt>
                <c:pt idx="653">
                  <c:v>41946</c:v>
                </c:pt>
                <c:pt idx="654">
                  <c:v>41947</c:v>
                </c:pt>
                <c:pt idx="655">
                  <c:v>41948</c:v>
                </c:pt>
                <c:pt idx="656">
                  <c:v>41949</c:v>
                </c:pt>
                <c:pt idx="657">
                  <c:v>41950</c:v>
                </c:pt>
                <c:pt idx="658">
                  <c:v>41953</c:v>
                </c:pt>
                <c:pt idx="659">
                  <c:v>41954</c:v>
                </c:pt>
                <c:pt idx="660">
                  <c:v>41955</c:v>
                </c:pt>
                <c:pt idx="661">
                  <c:v>41956</c:v>
                </c:pt>
                <c:pt idx="662">
                  <c:v>41957</c:v>
                </c:pt>
                <c:pt idx="663">
                  <c:v>41960</c:v>
                </c:pt>
                <c:pt idx="664">
                  <c:v>41961</c:v>
                </c:pt>
                <c:pt idx="665">
                  <c:v>41962</c:v>
                </c:pt>
                <c:pt idx="666">
                  <c:v>41963</c:v>
                </c:pt>
                <c:pt idx="667">
                  <c:v>41964</c:v>
                </c:pt>
                <c:pt idx="668">
                  <c:v>41967</c:v>
                </c:pt>
                <c:pt idx="669">
                  <c:v>41968</c:v>
                </c:pt>
                <c:pt idx="670">
                  <c:v>41969</c:v>
                </c:pt>
                <c:pt idx="671">
                  <c:v>41970</c:v>
                </c:pt>
                <c:pt idx="672">
                  <c:v>41971</c:v>
                </c:pt>
                <c:pt idx="673">
                  <c:v>41974</c:v>
                </c:pt>
                <c:pt idx="674">
                  <c:v>41975</c:v>
                </c:pt>
                <c:pt idx="675">
                  <c:v>41976</c:v>
                </c:pt>
                <c:pt idx="676">
                  <c:v>41977</c:v>
                </c:pt>
                <c:pt idx="677">
                  <c:v>41978</c:v>
                </c:pt>
                <c:pt idx="678">
                  <c:v>41981</c:v>
                </c:pt>
                <c:pt idx="679">
                  <c:v>41982</c:v>
                </c:pt>
                <c:pt idx="680">
                  <c:v>41983</c:v>
                </c:pt>
                <c:pt idx="681">
                  <c:v>41984</c:v>
                </c:pt>
                <c:pt idx="682">
                  <c:v>41985</c:v>
                </c:pt>
                <c:pt idx="683">
                  <c:v>41988</c:v>
                </c:pt>
                <c:pt idx="684">
                  <c:v>41989</c:v>
                </c:pt>
                <c:pt idx="685">
                  <c:v>41990</c:v>
                </c:pt>
                <c:pt idx="686">
                  <c:v>41991</c:v>
                </c:pt>
                <c:pt idx="687">
                  <c:v>41992</c:v>
                </c:pt>
                <c:pt idx="688">
                  <c:v>41995</c:v>
                </c:pt>
                <c:pt idx="689">
                  <c:v>41996</c:v>
                </c:pt>
                <c:pt idx="690">
                  <c:v>42002</c:v>
                </c:pt>
                <c:pt idx="691">
                  <c:v>42003</c:v>
                </c:pt>
                <c:pt idx="692">
                  <c:v>42006</c:v>
                </c:pt>
                <c:pt idx="693">
                  <c:v>42009</c:v>
                </c:pt>
                <c:pt idx="694">
                  <c:v>42010</c:v>
                </c:pt>
                <c:pt idx="695">
                  <c:v>42011</c:v>
                </c:pt>
                <c:pt idx="696">
                  <c:v>42012</c:v>
                </c:pt>
                <c:pt idx="697">
                  <c:v>42013</c:v>
                </c:pt>
                <c:pt idx="698">
                  <c:v>42016</c:v>
                </c:pt>
                <c:pt idx="699">
                  <c:v>42017</c:v>
                </c:pt>
                <c:pt idx="700">
                  <c:v>42018</c:v>
                </c:pt>
                <c:pt idx="701">
                  <c:v>42019</c:v>
                </c:pt>
                <c:pt idx="702">
                  <c:v>42020</c:v>
                </c:pt>
                <c:pt idx="703">
                  <c:v>42023</c:v>
                </c:pt>
                <c:pt idx="704">
                  <c:v>42024</c:v>
                </c:pt>
                <c:pt idx="705">
                  <c:v>42025</c:v>
                </c:pt>
                <c:pt idx="706">
                  <c:v>42026</c:v>
                </c:pt>
                <c:pt idx="707">
                  <c:v>42027</c:v>
                </c:pt>
                <c:pt idx="708">
                  <c:v>42030</c:v>
                </c:pt>
                <c:pt idx="709">
                  <c:v>42031</c:v>
                </c:pt>
                <c:pt idx="710">
                  <c:v>42032</c:v>
                </c:pt>
                <c:pt idx="711">
                  <c:v>42033</c:v>
                </c:pt>
                <c:pt idx="712">
                  <c:v>42034</c:v>
                </c:pt>
                <c:pt idx="713">
                  <c:v>42037</c:v>
                </c:pt>
                <c:pt idx="714">
                  <c:v>42038</c:v>
                </c:pt>
                <c:pt idx="715">
                  <c:v>42039</c:v>
                </c:pt>
                <c:pt idx="716">
                  <c:v>42040</c:v>
                </c:pt>
                <c:pt idx="717">
                  <c:v>42041</c:v>
                </c:pt>
                <c:pt idx="718">
                  <c:v>42044</c:v>
                </c:pt>
                <c:pt idx="719">
                  <c:v>42045</c:v>
                </c:pt>
                <c:pt idx="720">
                  <c:v>42046</c:v>
                </c:pt>
                <c:pt idx="721">
                  <c:v>42047</c:v>
                </c:pt>
                <c:pt idx="722">
                  <c:v>42048</c:v>
                </c:pt>
                <c:pt idx="723">
                  <c:v>42051</c:v>
                </c:pt>
                <c:pt idx="724">
                  <c:v>42052</c:v>
                </c:pt>
                <c:pt idx="725">
                  <c:v>42053</c:v>
                </c:pt>
                <c:pt idx="726">
                  <c:v>42054</c:v>
                </c:pt>
                <c:pt idx="727">
                  <c:v>42055</c:v>
                </c:pt>
                <c:pt idx="728">
                  <c:v>42058</c:v>
                </c:pt>
                <c:pt idx="729">
                  <c:v>42059</c:v>
                </c:pt>
                <c:pt idx="730">
                  <c:v>42060</c:v>
                </c:pt>
                <c:pt idx="731">
                  <c:v>42061</c:v>
                </c:pt>
                <c:pt idx="732">
                  <c:v>42062</c:v>
                </c:pt>
                <c:pt idx="733">
                  <c:v>42065</c:v>
                </c:pt>
                <c:pt idx="734">
                  <c:v>42066</c:v>
                </c:pt>
                <c:pt idx="735">
                  <c:v>42067</c:v>
                </c:pt>
                <c:pt idx="736">
                  <c:v>42068</c:v>
                </c:pt>
                <c:pt idx="737">
                  <c:v>42069</c:v>
                </c:pt>
                <c:pt idx="738">
                  <c:v>42072</c:v>
                </c:pt>
                <c:pt idx="739">
                  <c:v>42073</c:v>
                </c:pt>
                <c:pt idx="740">
                  <c:v>42074</c:v>
                </c:pt>
                <c:pt idx="741">
                  <c:v>42075</c:v>
                </c:pt>
                <c:pt idx="742">
                  <c:v>42076</c:v>
                </c:pt>
                <c:pt idx="743">
                  <c:v>42079</c:v>
                </c:pt>
                <c:pt idx="744">
                  <c:v>42080</c:v>
                </c:pt>
                <c:pt idx="745">
                  <c:v>42081</c:v>
                </c:pt>
                <c:pt idx="746">
                  <c:v>42082</c:v>
                </c:pt>
                <c:pt idx="747">
                  <c:v>42083</c:v>
                </c:pt>
                <c:pt idx="748">
                  <c:v>42086</c:v>
                </c:pt>
                <c:pt idx="749">
                  <c:v>42087</c:v>
                </c:pt>
                <c:pt idx="750">
                  <c:v>42088</c:v>
                </c:pt>
                <c:pt idx="751">
                  <c:v>42089</c:v>
                </c:pt>
                <c:pt idx="752">
                  <c:v>42090</c:v>
                </c:pt>
                <c:pt idx="753">
                  <c:v>42093</c:v>
                </c:pt>
                <c:pt idx="754">
                  <c:v>42094</c:v>
                </c:pt>
                <c:pt idx="755">
                  <c:v>42095</c:v>
                </c:pt>
                <c:pt idx="756">
                  <c:v>42096</c:v>
                </c:pt>
                <c:pt idx="757">
                  <c:v>42101</c:v>
                </c:pt>
                <c:pt idx="758">
                  <c:v>42102</c:v>
                </c:pt>
                <c:pt idx="759">
                  <c:v>42103</c:v>
                </c:pt>
                <c:pt idx="760">
                  <c:v>42104</c:v>
                </c:pt>
                <c:pt idx="761">
                  <c:v>42107</c:v>
                </c:pt>
                <c:pt idx="762">
                  <c:v>42108</c:v>
                </c:pt>
                <c:pt idx="763">
                  <c:v>42109</c:v>
                </c:pt>
                <c:pt idx="764">
                  <c:v>42110</c:v>
                </c:pt>
                <c:pt idx="765">
                  <c:v>42111</c:v>
                </c:pt>
                <c:pt idx="766">
                  <c:v>42114</c:v>
                </c:pt>
                <c:pt idx="767">
                  <c:v>42115</c:v>
                </c:pt>
                <c:pt idx="768">
                  <c:v>42116</c:v>
                </c:pt>
                <c:pt idx="769">
                  <c:v>42117</c:v>
                </c:pt>
                <c:pt idx="770">
                  <c:v>42118</c:v>
                </c:pt>
                <c:pt idx="771">
                  <c:v>42121</c:v>
                </c:pt>
                <c:pt idx="772">
                  <c:v>42122</c:v>
                </c:pt>
                <c:pt idx="773">
                  <c:v>42123</c:v>
                </c:pt>
                <c:pt idx="774">
                  <c:v>42124</c:v>
                </c:pt>
                <c:pt idx="775">
                  <c:v>42128</c:v>
                </c:pt>
                <c:pt idx="776">
                  <c:v>42129</c:v>
                </c:pt>
                <c:pt idx="777">
                  <c:v>42130</c:v>
                </c:pt>
                <c:pt idx="778">
                  <c:v>42131</c:v>
                </c:pt>
                <c:pt idx="779">
                  <c:v>42132</c:v>
                </c:pt>
                <c:pt idx="780">
                  <c:v>42135</c:v>
                </c:pt>
                <c:pt idx="781">
                  <c:v>42136</c:v>
                </c:pt>
                <c:pt idx="782">
                  <c:v>42137</c:v>
                </c:pt>
                <c:pt idx="783">
                  <c:v>42138</c:v>
                </c:pt>
                <c:pt idx="784">
                  <c:v>42139</c:v>
                </c:pt>
                <c:pt idx="785">
                  <c:v>42142</c:v>
                </c:pt>
                <c:pt idx="786">
                  <c:v>42143</c:v>
                </c:pt>
                <c:pt idx="787">
                  <c:v>42144</c:v>
                </c:pt>
                <c:pt idx="788">
                  <c:v>42145</c:v>
                </c:pt>
                <c:pt idx="789">
                  <c:v>42146</c:v>
                </c:pt>
                <c:pt idx="790">
                  <c:v>42149</c:v>
                </c:pt>
                <c:pt idx="791">
                  <c:v>42150</c:v>
                </c:pt>
                <c:pt idx="792">
                  <c:v>42151</c:v>
                </c:pt>
                <c:pt idx="793">
                  <c:v>42152</c:v>
                </c:pt>
                <c:pt idx="794">
                  <c:v>42153</c:v>
                </c:pt>
                <c:pt idx="795">
                  <c:v>42156</c:v>
                </c:pt>
                <c:pt idx="796">
                  <c:v>42157</c:v>
                </c:pt>
                <c:pt idx="797">
                  <c:v>42158</c:v>
                </c:pt>
                <c:pt idx="798">
                  <c:v>42159</c:v>
                </c:pt>
                <c:pt idx="799">
                  <c:v>42160</c:v>
                </c:pt>
                <c:pt idx="800">
                  <c:v>42163</c:v>
                </c:pt>
                <c:pt idx="801">
                  <c:v>42164</c:v>
                </c:pt>
                <c:pt idx="802">
                  <c:v>42165</c:v>
                </c:pt>
                <c:pt idx="803">
                  <c:v>42166</c:v>
                </c:pt>
                <c:pt idx="804">
                  <c:v>42167</c:v>
                </c:pt>
                <c:pt idx="805">
                  <c:v>42170</c:v>
                </c:pt>
                <c:pt idx="806">
                  <c:v>42171</c:v>
                </c:pt>
                <c:pt idx="807">
                  <c:v>42172</c:v>
                </c:pt>
                <c:pt idx="808">
                  <c:v>42173</c:v>
                </c:pt>
                <c:pt idx="809">
                  <c:v>42174</c:v>
                </c:pt>
                <c:pt idx="810">
                  <c:v>42177</c:v>
                </c:pt>
                <c:pt idx="811">
                  <c:v>42178</c:v>
                </c:pt>
                <c:pt idx="812">
                  <c:v>42179</c:v>
                </c:pt>
                <c:pt idx="813">
                  <c:v>42180</c:v>
                </c:pt>
                <c:pt idx="814">
                  <c:v>42181</c:v>
                </c:pt>
                <c:pt idx="815">
                  <c:v>42184</c:v>
                </c:pt>
                <c:pt idx="816">
                  <c:v>42185</c:v>
                </c:pt>
                <c:pt idx="817">
                  <c:v>42186</c:v>
                </c:pt>
                <c:pt idx="818">
                  <c:v>42187</c:v>
                </c:pt>
                <c:pt idx="819">
                  <c:v>42188</c:v>
                </c:pt>
                <c:pt idx="820">
                  <c:v>42191</c:v>
                </c:pt>
                <c:pt idx="821">
                  <c:v>42192</c:v>
                </c:pt>
                <c:pt idx="822">
                  <c:v>42193</c:v>
                </c:pt>
                <c:pt idx="823">
                  <c:v>42194</c:v>
                </c:pt>
                <c:pt idx="824">
                  <c:v>42195</c:v>
                </c:pt>
                <c:pt idx="825">
                  <c:v>42198</c:v>
                </c:pt>
                <c:pt idx="826">
                  <c:v>42199</c:v>
                </c:pt>
                <c:pt idx="827">
                  <c:v>42200</c:v>
                </c:pt>
                <c:pt idx="828">
                  <c:v>42201</c:v>
                </c:pt>
                <c:pt idx="829">
                  <c:v>42202</c:v>
                </c:pt>
                <c:pt idx="830">
                  <c:v>42205</c:v>
                </c:pt>
                <c:pt idx="831">
                  <c:v>42206</c:v>
                </c:pt>
                <c:pt idx="832">
                  <c:v>42207</c:v>
                </c:pt>
                <c:pt idx="833">
                  <c:v>42208</c:v>
                </c:pt>
                <c:pt idx="834">
                  <c:v>42209</c:v>
                </c:pt>
                <c:pt idx="835">
                  <c:v>42212</c:v>
                </c:pt>
                <c:pt idx="836">
                  <c:v>42213</c:v>
                </c:pt>
                <c:pt idx="837">
                  <c:v>42214</c:v>
                </c:pt>
                <c:pt idx="838">
                  <c:v>42215</c:v>
                </c:pt>
                <c:pt idx="839">
                  <c:v>42216</c:v>
                </c:pt>
                <c:pt idx="840">
                  <c:v>42219</c:v>
                </c:pt>
                <c:pt idx="841">
                  <c:v>42220</c:v>
                </c:pt>
                <c:pt idx="842">
                  <c:v>42221</c:v>
                </c:pt>
                <c:pt idx="843">
                  <c:v>42222</c:v>
                </c:pt>
                <c:pt idx="844">
                  <c:v>42223</c:v>
                </c:pt>
                <c:pt idx="845">
                  <c:v>42226</c:v>
                </c:pt>
                <c:pt idx="846">
                  <c:v>42227</c:v>
                </c:pt>
                <c:pt idx="847">
                  <c:v>42228</c:v>
                </c:pt>
                <c:pt idx="848">
                  <c:v>42229</c:v>
                </c:pt>
                <c:pt idx="849">
                  <c:v>42230</c:v>
                </c:pt>
                <c:pt idx="850">
                  <c:v>42233</c:v>
                </c:pt>
                <c:pt idx="851">
                  <c:v>42234</c:v>
                </c:pt>
                <c:pt idx="852">
                  <c:v>42235</c:v>
                </c:pt>
                <c:pt idx="853">
                  <c:v>42236</c:v>
                </c:pt>
                <c:pt idx="854">
                  <c:v>42237</c:v>
                </c:pt>
                <c:pt idx="855">
                  <c:v>42240</c:v>
                </c:pt>
                <c:pt idx="856">
                  <c:v>42241</c:v>
                </c:pt>
                <c:pt idx="857">
                  <c:v>42242</c:v>
                </c:pt>
                <c:pt idx="858">
                  <c:v>42243</c:v>
                </c:pt>
                <c:pt idx="859">
                  <c:v>42244</c:v>
                </c:pt>
                <c:pt idx="860">
                  <c:v>42247</c:v>
                </c:pt>
                <c:pt idx="861">
                  <c:v>42248</c:v>
                </c:pt>
                <c:pt idx="862">
                  <c:v>42249</c:v>
                </c:pt>
                <c:pt idx="863">
                  <c:v>42250</c:v>
                </c:pt>
                <c:pt idx="864">
                  <c:v>42251</c:v>
                </c:pt>
                <c:pt idx="865">
                  <c:v>42254</c:v>
                </c:pt>
                <c:pt idx="866">
                  <c:v>42255</c:v>
                </c:pt>
                <c:pt idx="867">
                  <c:v>42256</c:v>
                </c:pt>
                <c:pt idx="868">
                  <c:v>42257</c:v>
                </c:pt>
                <c:pt idx="869">
                  <c:v>42258</c:v>
                </c:pt>
                <c:pt idx="870">
                  <c:v>42261</c:v>
                </c:pt>
                <c:pt idx="871">
                  <c:v>42262</c:v>
                </c:pt>
                <c:pt idx="872">
                  <c:v>42263</c:v>
                </c:pt>
                <c:pt idx="873">
                  <c:v>42264</c:v>
                </c:pt>
                <c:pt idx="874">
                  <c:v>42265</c:v>
                </c:pt>
                <c:pt idx="875">
                  <c:v>42268</c:v>
                </c:pt>
                <c:pt idx="876">
                  <c:v>42269</c:v>
                </c:pt>
                <c:pt idx="877">
                  <c:v>42270</c:v>
                </c:pt>
                <c:pt idx="878">
                  <c:v>42271</c:v>
                </c:pt>
                <c:pt idx="879">
                  <c:v>42272</c:v>
                </c:pt>
                <c:pt idx="880">
                  <c:v>42275</c:v>
                </c:pt>
                <c:pt idx="881">
                  <c:v>42276</c:v>
                </c:pt>
                <c:pt idx="882">
                  <c:v>42277</c:v>
                </c:pt>
                <c:pt idx="883">
                  <c:v>42278</c:v>
                </c:pt>
                <c:pt idx="884">
                  <c:v>42279</c:v>
                </c:pt>
                <c:pt idx="885">
                  <c:v>42282</c:v>
                </c:pt>
                <c:pt idx="886">
                  <c:v>42283</c:v>
                </c:pt>
                <c:pt idx="887">
                  <c:v>42284</c:v>
                </c:pt>
                <c:pt idx="888">
                  <c:v>42285</c:v>
                </c:pt>
                <c:pt idx="889">
                  <c:v>42286</c:v>
                </c:pt>
                <c:pt idx="890">
                  <c:v>42289</c:v>
                </c:pt>
                <c:pt idx="891">
                  <c:v>42290</c:v>
                </c:pt>
                <c:pt idx="892">
                  <c:v>42291</c:v>
                </c:pt>
                <c:pt idx="893">
                  <c:v>42292</c:v>
                </c:pt>
                <c:pt idx="894">
                  <c:v>42293</c:v>
                </c:pt>
                <c:pt idx="895">
                  <c:v>42296</c:v>
                </c:pt>
                <c:pt idx="896">
                  <c:v>42297</c:v>
                </c:pt>
                <c:pt idx="897">
                  <c:v>42298</c:v>
                </c:pt>
                <c:pt idx="898">
                  <c:v>42299</c:v>
                </c:pt>
                <c:pt idx="899">
                  <c:v>42300</c:v>
                </c:pt>
                <c:pt idx="900">
                  <c:v>42303</c:v>
                </c:pt>
                <c:pt idx="901">
                  <c:v>42304</c:v>
                </c:pt>
                <c:pt idx="902">
                  <c:v>42305</c:v>
                </c:pt>
                <c:pt idx="903">
                  <c:v>42306</c:v>
                </c:pt>
                <c:pt idx="904">
                  <c:v>42307</c:v>
                </c:pt>
                <c:pt idx="905">
                  <c:v>42310</c:v>
                </c:pt>
                <c:pt idx="906">
                  <c:v>42311</c:v>
                </c:pt>
                <c:pt idx="907">
                  <c:v>42312</c:v>
                </c:pt>
                <c:pt idx="908">
                  <c:v>42313</c:v>
                </c:pt>
                <c:pt idx="909">
                  <c:v>42314</c:v>
                </c:pt>
                <c:pt idx="910">
                  <c:v>42317</c:v>
                </c:pt>
                <c:pt idx="911">
                  <c:v>42318</c:v>
                </c:pt>
                <c:pt idx="912">
                  <c:v>42319</c:v>
                </c:pt>
                <c:pt idx="913">
                  <c:v>42320</c:v>
                </c:pt>
                <c:pt idx="914">
                  <c:v>42321</c:v>
                </c:pt>
                <c:pt idx="915">
                  <c:v>42324</c:v>
                </c:pt>
                <c:pt idx="916">
                  <c:v>42325</c:v>
                </c:pt>
                <c:pt idx="917">
                  <c:v>42326</c:v>
                </c:pt>
                <c:pt idx="918">
                  <c:v>42327</c:v>
                </c:pt>
                <c:pt idx="919">
                  <c:v>42328</c:v>
                </c:pt>
                <c:pt idx="920">
                  <c:v>42331</c:v>
                </c:pt>
                <c:pt idx="921">
                  <c:v>42332</c:v>
                </c:pt>
                <c:pt idx="922">
                  <c:v>42333</c:v>
                </c:pt>
                <c:pt idx="923">
                  <c:v>42334</c:v>
                </c:pt>
                <c:pt idx="924">
                  <c:v>42335</c:v>
                </c:pt>
                <c:pt idx="925">
                  <c:v>42338</c:v>
                </c:pt>
                <c:pt idx="926">
                  <c:v>42339</c:v>
                </c:pt>
                <c:pt idx="927">
                  <c:v>42340</c:v>
                </c:pt>
                <c:pt idx="928">
                  <c:v>42341</c:v>
                </c:pt>
                <c:pt idx="929">
                  <c:v>42342</c:v>
                </c:pt>
                <c:pt idx="930">
                  <c:v>42345</c:v>
                </c:pt>
                <c:pt idx="931">
                  <c:v>42346</c:v>
                </c:pt>
                <c:pt idx="932">
                  <c:v>42347</c:v>
                </c:pt>
                <c:pt idx="933">
                  <c:v>42348</c:v>
                </c:pt>
                <c:pt idx="934">
                  <c:v>42349</c:v>
                </c:pt>
                <c:pt idx="935">
                  <c:v>42352</c:v>
                </c:pt>
                <c:pt idx="936">
                  <c:v>42353</c:v>
                </c:pt>
                <c:pt idx="937">
                  <c:v>42354</c:v>
                </c:pt>
                <c:pt idx="938">
                  <c:v>42355</c:v>
                </c:pt>
                <c:pt idx="939">
                  <c:v>42356</c:v>
                </c:pt>
                <c:pt idx="940">
                  <c:v>42359</c:v>
                </c:pt>
                <c:pt idx="941">
                  <c:v>42360</c:v>
                </c:pt>
                <c:pt idx="942">
                  <c:v>42361</c:v>
                </c:pt>
                <c:pt idx="943">
                  <c:v>42366</c:v>
                </c:pt>
                <c:pt idx="944">
                  <c:v>42367</c:v>
                </c:pt>
                <c:pt idx="945">
                  <c:v>42368</c:v>
                </c:pt>
                <c:pt idx="946">
                  <c:v>42369</c:v>
                </c:pt>
                <c:pt idx="947">
                  <c:v>42373</c:v>
                </c:pt>
                <c:pt idx="948">
                  <c:v>42374</c:v>
                </c:pt>
                <c:pt idx="949">
                  <c:v>42375</c:v>
                </c:pt>
                <c:pt idx="950">
                  <c:v>42376</c:v>
                </c:pt>
                <c:pt idx="951">
                  <c:v>42377</c:v>
                </c:pt>
                <c:pt idx="952">
                  <c:v>42380</c:v>
                </c:pt>
                <c:pt idx="953">
                  <c:v>42381</c:v>
                </c:pt>
                <c:pt idx="954">
                  <c:v>42382</c:v>
                </c:pt>
                <c:pt idx="955">
                  <c:v>42383</c:v>
                </c:pt>
                <c:pt idx="956">
                  <c:v>42384</c:v>
                </c:pt>
                <c:pt idx="957">
                  <c:v>42387</c:v>
                </c:pt>
                <c:pt idx="958">
                  <c:v>42388</c:v>
                </c:pt>
                <c:pt idx="959">
                  <c:v>42389</c:v>
                </c:pt>
                <c:pt idx="960">
                  <c:v>42390</c:v>
                </c:pt>
                <c:pt idx="961">
                  <c:v>42391</c:v>
                </c:pt>
                <c:pt idx="962">
                  <c:v>42394</c:v>
                </c:pt>
                <c:pt idx="963">
                  <c:v>42395</c:v>
                </c:pt>
                <c:pt idx="964">
                  <c:v>42396</c:v>
                </c:pt>
                <c:pt idx="965">
                  <c:v>42397</c:v>
                </c:pt>
                <c:pt idx="966">
                  <c:v>42398</c:v>
                </c:pt>
                <c:pt idx="967">
                  <c:v>42401</c:v>
                </c:pt>
                <c:pt idx="968">
                  <c:v>42402</c:v>
                </c:pt>
                <c:pt idx="969">
                  <c:v>42403</c:v>
                </c:pt>
                <c:pt idx="970">
                  <c:v>42404</c:v>
                </c:pt>
                <c:pt idx="971">
                  <c:v>42405</c:v>
                </c:pt>
                <c:pt idx="972">
                  <c:v>42408</c:v>
                </c:pt>
                <c:pt idx="973">
                  <c:v>42409</c:v>
                </c:pt>
                <c:pt idx="974">
                  <c:v>42410</c:v>
                </c:pt>
                <c:pt idx="975">
                  <c:v>42411</c:v>
                </c:pt>
                <c:pt idx="976">
                  <c:v>42412</c:v>
                </c:pt>
                <c:pt idx="977">
                  <c:v>42415</c:v>
                </c:pt>
                <c:pt idx="978">
                  <c:v>42416</c:v>
                </c:pt>
                <c:pt idx="979">
                  <c:v>42417</c:v>
                </c:pt>
                <c:pt idx="980">
                  <c:v>42418</c:v>
                </c:pt>
                <c:pt idx="981">
                  <c:v>42419</c:v>
                </c:pt>
                <c:pt idx="982">
                  <c:v>42422</c:v>
                </c:pt>
                <c:pt idx="983">
                  <c:v>42423</c:v>
                </c:pt>
                <c:pt idx="984">
                  <c:v>42424</c:v>
                </c:pt>
                <c:pt idx="985">
                  <c:v>42425</c:v>
                </c:pt>
                <c:pt idx="986">
                  <c:v>42426</c:v>
                </c:pt>
                <c:pt idx="987">
                  <c:v>42429</c:v>
                </c:pt>
                <c:pt idx="988">
                  <c:v>42430</c:v>
                </c:pt>
                <c:pt idx="989">
                  <c:v>42431</c:v>
                </c:pt>
                <c:pt idx="990">
                  <c:v>42432</c:v>
                </c:pt>
                <c:pt idx="991">
                  <c:v>42433</c:v>
                </c:pt>
                <c:pt idx="992">
                  <c:v>42436</c:v>
                </c:pt>
                <c:pt idx="993">
                  <c:v>42437</c:v>
                </c:pt>
                <c:pt idx="994">
                  <c:v>42438</c:v>
                </c:pt>
                <c:pt idx="995">
                  <c:v>42439</c:v>
                </c:pt>
                <c:pt idx="996">
                  <c:v>42440</c:v>
                </c:pt>
                <c:pt idx="997">
                  <c:v>42443</c:v>
                </c:pt>
                <c:pt idx="998">
                  <c:v>42444</c:v>
                </c:pt>
                <c:pt idx="999">
                  <c:v>42445</c:v>
                </c:pt>
                <c:pt idx="1000">
                  <c:v>42446</c:v>
                </c:pt>
                <c:pt idx="1001">
                  <c:v>42447</c:v>
                </c:pt>
                <c:pt idx="1002">
                  <c:v>42450</c:v>
                </c:pt>
                <c:pt idx="1003">
                  <c:v>42451</c:v>
                </c:pt>
                <c:pt idx="1004">
                  <c:v>42452</c:v>
                </c:pt>
                <c:pt idx="1005">
                  <c:v>42453</c:v>
                </c:pt>
                <c:pt idx="1006">
                  <c:v>42458</c:v>
                </c:pt>
                <c:pt idx="1007">
                  <c:v>42459</c:v>
                </c:pt>
                <c:pt idx="1008">
                  <c:v>42460</c:v>
                </c:pt>
                <c:pt idx="1009">
                  <c:v>42461</c:v>
                </c:pt>
                <c:pt idx="1010">
                  <c:v>42464</c:v>
                </c:pt>
                <c:pt idx="1011">
                  <c:v>42465</c:v>
                </c:pt>
                <c:pt idx="1012">
                  <c:v>42466</c:v>
                </c:pt>
                <c:pt idx="1013">
                  <c:v>42467</c:v>
                </c:pt>
                <c:pt idx="1014">
                  <c:v>42468</c:v>
                </c:pt>
                <c:pt idx="1015">
                  <c:v>42471</c:v>
                </c:pt>
                <c:pt idx="1016">
                  <c:v>42472</c:v>
                </c:pt>
                <c:pt idx="1017">
                  <c:v>42473</c:v>
                </c:pt>
                <c:pt idx="1018">
                  <c:v>42474</c:v>
                </c:pt>
                <c:pt idx="1019">
                  <c:v>42475</c:v>
                </c:pt>
                <c:pt idx="1020">
                  <c:v>42478</c:v>
                </c:pt>
                <c:pt idx="1021">
                  <c:v>42479</c:v>
                </c:pt>
                <c:pt idx="1022">
                  <c:v>42480</c:v>
                </c:pt>
                <c:pt idx="1023">
                  <c:v>42481</c:v>
                </c:pt>
                <c:pt idx="1024">
                  <c:v>42482</c:v>
                </c:pt>
                <c:pt idx="1025">
                  <c:v>42485</c:v>
                </c:pt>
                <c:pt idx="1026">
                  <c:v>42486</c:v>
                </c:pt>
                <c:pt idx="1027">
                  <c:v>42487</c:v>
                </c:pt>
                <c:pt idx="1028">
                  <c:v>42488</c:v>
                </c:pt>
                <c:pt idx="1029">
                  <c:v>42489</c:v>
                </c:pt>
                <c:pt idx="1030">
                  <c:v>42492</c:v>
                </c:pt>
                <c:pt idx="1031">
                  <c:v>42493</c:v>
                </c:pt>
                <c:pt idx="1032">
                  <c:v>42494</c:v>
                </c:pt>
                <c:pt idx="1033">
                  <c:v>42495</c:v>
                </c:pt>
                <c:pt idx="1034">
                  <c:v>42496</c:v>
                </c:pt>
                <c:pt idx="1035">
                  <c:v>42499</c:v>
                </c:pt>
                <c:pt idx="1036">
                  <c:v>42500</c:v>
                </c:pt>
                <c:pt idx="1037">
                  <c:v>42501</c:v>
                </c:pt>
                <c:pt idx="1038">
                  <c:v>42502</c:v>
                </c:pt>
                <c:pt idx="1039">
                  <c:v>42503</c:v>
                </c:pt>
                <c:pt idx="1040">
                  <c:v>42506</c:v>
                </c:pt>
                <c:pt idx="1041">
                  <c:v>42507</c:v>
                </c:pt>
                <c:pt idx="1042">
                  <c:v>42508</c:v>
                </c:pt>
                <c:pt idx="1043">
                  <c:v>42509</c:v>
                </c:pt>
                <c:pt idx="1044">
                  <c:v>42510</c:v>
                </c:pt>
                <c:pt idx="1045">
                  <c:v>42513</c:v>
                </c:pt>
                <c:pt idx="1046">
                  <c:v>42514</c:v>
                </c:pt>
                <c:pt idx="1047">
                  <c:v>42515</c:v>
                </c:pt>
                <c:pt idx="1048">
                  <c:v>42516</c:v>
                </c:pt>
                <c:pt idx="1049">
                  <c:v>42517</c:v>
                </c:pt>
                <c:pt idx="1050">
                  <c:v>42520</c:v>
                </c:pt>
                <c:pt idx="1051">
                  <c:v>42521</c:v>
                </c:pt>
                <c:pt idx="1052">
                  <c:v>42522</c:v>
                </c:pt>
                <c:pt idx="1053">
                  <c:v>42523</c:v>
                </c:pt>
                <c:pt idx="1054">
                  <c:v>42524</c:v>
                </c:pt>
                <c:pt idx="1055">
                  <c:v>42527</c:v>
                </c:pt>
                <c:pt idx="1056">
                  <c:v>42528</c:v>
                </c:pt>
                <c:pt idx="1057">
                  <c:v>42529</c:v>
                </c:pt>
                <c:pt idx="1058">
                  <c:v>42530</c:v>
                </c:pt>
                <c:pt idx="1059">
                  <c:v>42531</c:v>
                </c:pt>
                <c:pt idx="1060">
                  <c:v>42534</c:v>
                </c:pt>
                <c:pt idx="1061">
                  <c:v>42535</c:v>
                </c:pt>
                <c:pt idx="1062">
                  <c:v>42536</c:v>
                </c:pt>
                <c:pt idx="1063">
                  <c:v>42537</c:v>
                </c:pt>
                <c:pt idx="1064">
                  <c:v>42538</c:v>
                </c:pt>
                <c:pt idx="1065">
                  <c:v>42541</c:v>
                </c:pt>
                <c:pt idx="1066">
                  <c:v>42542</c:v>
                </c:pt>
                <c:pt idx="1067">
                  <c:v>42543</c:v>
                </c:pt>
                <c:pt idx="1068">
                  <c:v>42544</c:v>
                </c:pt>
                <c:pt idx="1069">
                  <c:v>42545</c:v>
                </c:pt>
                <c:pt idx="1070">
                  <c:v>42548</c:v>
                </c:pt>
                <c:pt idx="1071">
                  <c:v>42549</c:v>
                </c:pt>
                <c:pt idx="1072">
                  <c:v>42550</c:v>
                </c:pt>
                <c:pt idx="1073">
                  <c:v>42551</c:v>
                </c:pt>
                <c:pt idx="1074">
                  <c:v>42552</c:v>
                </c:pt>
                <c:pt idx="1075">
                  <c:v>42555</c:v>
                </c:pt>
                <c:pt idx="1076">
                  <c:v>42556</c:v>
                </c:pt>
                <c:pt idx="1077">
                  <c:v>42557</c:v>
                </c:pt>
                <c:pt idx="1078">
                  <c:v>42558</c:v>
                </c:pt>
                <c:pt idx="1079">
                  <c:v>42559</c:v>
                </c:pt>
                <c:pt idx="1080">
                  <c:v>42562</c:v>
                </c:pt>
                <c:pt idx="1081">
                  <c:v>42563</c:v>
                </c:pt>
                <c:pt idx="1082">
                  <c:v>42564</c:v>
                </c:pt>
                <c:pt idx="1083">
                  <c:v>42565</c:v>
                </c:pt>
                <c:pt idx="1084">
                  <c:v>42566</c:v>
                </c:pt>
                <c:pt idx="1085">
                  <c:v>42569</c:v>
                </c:pt>
                <c:pt idx="1086">
                  <c:v>42570</c:v>
                </c:pt>
                <c:pt idx="1087">
                  <c:v>42571</c:v>
                </c:pt>
                <c:pt idx="1088">
                  <c:v>42572</c:v>
                </c:pt>
                <c:pt idx="1089">
                  <c:v>42573</c:v>
                </c:pt>
                <c:pt idx="1090">
                  <c:v>42576</c:v>
                </c:pt>
                <c:pt idx="1091">
                  <c:v>42577</c:v>
                </c:pt>
                <c:pt idx="1092">
                  <c:v>42578</c:v>
                </c:pt>
                <c:pt idx="1093">
                  <c:v>42579</c:v>
                </c:pt>
                <c:pt idx="1094">
                  <c:v>42580</c:v>
                </c:pt>
                <c:pt idx="1095">
                  <c:v>42583</c:v>
                </c:pt>
                <c:pt idx="1096">
                  <c:v>42584</c:v>
                </c:pt>
                <c:pt idx="1097">
                  <c:v>42585</c:v>
                </c:pt>
                <c:pt idx="1098">
                  <c:v>42586</c:v>
                </c:pt>
                <c:pt idx="1099">
                  <c:v>42587</c:v>
                </c:pt>
                <c:pt idx="1100">
                  <c:v>42590</c:v>
                </c:pt>
                <c:pt idx="1101">
                  <c:v>42591</c:v>
                </c:pt>
                <c:pt idx="1102">
                  <c:v>42592</c:v>
                </c:pt>
                <c:pt idx="1103">
                  <c:v>42593</c:v>
                </c:pt>
                <c:pt idx="1104">
                  <c:v>42594</c:v>
                </c:pt>
                <c:pt idx="1105">
                  <c:v>42598</c:v>
                </c:pt>
                <c:pt idx="1106">
                  <c:v>42599</c:v>
                </c:pt>
                <c:pt idx="1107">
                  <c:v>42600</c:v>
                </c:pt>
                <c:pt idx="1108">
                  <c:v>42601</c:v>
                </c:pt>
                <c:pt idx="1109">
                  <c:v>42604</c:v>
                </c:pt>
                <c:pt idx="1110">
                  <c:v>42605</c:v>
                </c:pt>
                <c:pt idx="1111">
                  <c:v>42606</c:v>
                </c:pt>
                <c:pt idx="1112">
                  <c:v>42607</c:v>
                </c:pt>
                <c:pt idx="1113">
                  <c:v>42608</c:v>
                </c:pt>
                <c:pt idx="1114">
                  <c:v>42611</c:v>
                </c:pt>
                <c:pt idx="1115">
                  <c:v>42612</c:v>
                </c:pt>
                <c:pt idx="1116">
                  <c:v>42613</c:v>
                </c:pt>
                <c:pt idx="1117">
                  <c:v>42614</c:v>
                </c:pt>
                <c:pt idx="1118">
                  <c:v>42615</c:v>
                </c:pt>
                <c:pt idx="1119">
                  <c:v>42618</c:v>
                </c:pt>
                <c:pt idx="1120">
                  <c:v>42619</c:v>
                </c:pt>
                <c:pt idx="1121">
                  <c:v>42620</c:v>
                </c:pt>
                <c:pt idx="1122">
                  <c:v>42621</c:v>
                </c:pt>
                <c:pt idx="1123">
                  <c:v>42622</c:v>
                </c:pt>
                <c:pt idx="1124">
                  <c:v>42625</c:v>
                </c:pt>
                <c:pt idx="1125">
                  <c:v>42626</c:v>
                </c:pt>
                <c:pt idx="1126">
                  <c:v>42627</c:v>
                </c:pt>
                <c:pt idx="1127">
                  <c:v>42628</c:v>
                </c:pt>
                <c:pt idx="1128">
                  <c:v>42629</c:v>
                </c:pt>
                <c:pt idx="1129">
                  <c:v>42632</c:v>
                </c:pt>
                <c:pt idx="1130">
                  <c:v>42633</c:v>
                </c:pt>
                <c:pt idx="1131">
                  <c:v>42634</c:v>
                </c:pt>
                <c:pt idx="1132">
                  <c:v>42635</c:v>
                </c:pt>
                <c:pt idx="1133">
                  <c:v>42636</c:v>
                </c:pt>
                <c:pt idx="1134">
                  <c:v>42639</c:v>
                </c:pt>
                <c:pt idx="1135">
                  <c:v>42640</c:v>
                </c:pt>
                <c:pt idx="1136">
                  <c:v>42641</c:v>
                </c:pt>
                <c:pt idx="1137">
                  <c:v>42642</c:v>
                </c:pt>
                <c:pt idx="1138">
                  <c:v>42643</c:v>
                </c:pt>
                <c:pt idx="1139">
                  <c:v>42646</c:v>
                </c:pt>
                <c:pt idx="1140">
                  <c:v>42647</c:v>
                </c:pt>
                <c:pt idx="1141">
                  <c:v>42648</c:v>
                </c:pt>
                <c:pt idx="1142">
                  <c:v>42649</c:v>
                </c:pt>
                <c:pt idx="1143">
                  <c:v>42650</c:v>
                </c:pt>
                <c:pt idx="1144">
                  <c:v>42653</c:v>
                </c:pt>
                <c:pt idx="1145">
                  <c:v>42654</c:v>
                </c:pt>
                <c:pt idx="1146">
                  <c:v>42655</c:v>
                </c:pt>
                <c:pt idx="1147">
                  <c:v>42656</c:v>
                </c:pt>
                <c:pt idx="1148">
                  <c:v>42657</c:v>
                </c:pt>
                <c:pt idx="1149">
                  <c:v>42660</c:v>
                </c:pt>
                <c:pt idx="1150">
                  <c:v>42661</c:v>
                </c:pt>
                <c:pt idx="1151">
                  <c:v>42662</c:v>
                </c:pt>
                <c:pt idx="1152">
                  <c:v>42663</c:v>
                </c:pt>
                <c:pt idx="1153">
                  <c:v>42664</c:v>
                </c:pt>
                <c:pt idx="1154">
                  <c:v>42667</c:v>
                </c:pt>
                <c:pt idx="1155">
                  <c:v>42668</c:v>
                </c:pt>
                <c:pt idx="1156">
                  <c:v>42669</c:v>
                </c:pt>
                <c:pt idx="1157">
                  <c:v>42670</c:v>
                </c:pt>
                <c:pt idx="1158">
                  <c:v>42671</c:v>
                </c:pt>
                <c:pt idx="1159">
                  <c:v>42674</c:v>
                </c:pt>
                <c:pt idx="1160">
                  <c:v>42675</c:v>
                </c:pt>
                <c:pt idx="1161">
                  <c:v>42676</c:v>
                </c:pt>
                <c:pt idx="1162">
                  <c:v>42677</c:v>
                </c:pt>
                <c:pt idx="1163">
                  <c:v>42678</c:v>
                </c:pt>
                <c:pt idx="1164">
                  <c:v>42681</c:v>
                </c:pt>
                <c:pt idx="1165">
                  <c:v>42682</c:v>
                </c:pt>
                <c:pt idx="1166">
                  <c:v>42683</c:v>
                </c:pt>
                <c:pt idx="1167">
                  <c:v>42684</c:v>
                </c:pt>
                <c:pt idx="1168">
                  <c:v>42685</c:v>
                </c:pt>
                <c:pt idx="1169">
                  <c:v>42688</c:v>
                </c:pt>
                <c:pt idx="1170">
                  <c:v>42689</c:v>
                </c:pt>
                <c:pt idx="1171">
                  <c:v>42690</c:v>
                </c:pt>
                <c:pt idx="1172">
                  <c:v>42691</c:v>
                </c:pt>
                <c:pt idx="1173">
                  <c:v>42692</c:v>
                </c:pt>
                <c:pt idx="1174">
                  <c:v>42695</c:v>
                </c:pt>
                <c:pt idx="1175">
                  <c:v>42696</c:v>
                </c:pt>
                <c:pt idx="1176">
                  <c:v>42697</c:v>
                </c:pt>
                <c:pt idx="1177">
                  <c:v>42698</c:v>
                </c:pt>
                <c:pt idx="1178">
                  <c:v>42699</c:v>
                </c:pt>
                <c:pt idx="1179">
                  <c:v>42702</c:v>
                </c:pt>
                <c:pt idx="1180">
                  <c:v>42703</c:v>
                </c:pt>
                <c:pt idx="1181">
                  <c:v>42704</c:v>
                </c:pt>
                <c:pt idx="1182">
                  <c:v>42705</c:v>
                </c:pt>
                <c:pt idx="1183">
                  <c:v>42706</c:v>
                </c:pt>
                <c:pt idx="1184">
                  <c:v>42709</c:v>
                </c:pt>
                <c:pt idx="1185">
                  <c:v>42710</c:v>
                </c:pt>
                <c:pt idx="1186">
                  <c:v>42711</c:v>
                </c:pt>
                <c:pt idx="1187">
                  <c:v>42712</c:v>
                </c:pt>
                <c:pt idx="1188">
                  <c:v>42713</c:v>
                </c:pt>
                <c:pt idx="1189">
                  <c:v>42716</c:v>
                </c:pt>
                <c:pt idx="1190">
                  <c:v>42717</c:v>
                </c:pt>
                <c:pt idx="1191">
                  <c:v>42718</c:v>
                </c:pt>
                <c:pt idx="1192">
                  <c:v>42719</c:v>
                </c:pt>
                <c:pt idx="1193">
                  <c:v>42720</c:v>
                </c:pt>
                <c:pt idx="1194">
                  <c:v>42723</c:v>
                </c:pt>
                <c:pt idx="1195">
                  <c:v>42724</c:v>
                </c:pt>
                <c:pt idx="1196">
                  <c:v>42725</c:v>
                </c:pt>
                <c:pt idx="1197">
                  <c:v>42726</c:v>
                </c:pt>
                <c:pt idx="1198">
                  <c:v>42727</c:v>
                </c:pt>
                <c:pt idx="1199">
                  <c:v>42731</c:v>
                </c:pt>
                <c:pt idx="1200">
                  <c:v>42732</c:v>
                </c:pt>
                <c:pt idx="1201">
                  <c:v>42733</c:v>
                </c:pt>
                <c:pt idx="1202">
                  <c:v>42734</c:v>
                </c:pt>
                <c:pt idx="1203">
                  <c:v>42737</c:v>
                </c:pt>
                <c:pt idx="1204">
                  <c:v>42738</c:v>
                </c:pt>
                <c:pt idx="1205">
                  <c:v>42739</c:v>
                </c:pt>
                <c:pt idx="1206">
                  <c:v>42740</c:v>
                </c:pt>
                <c:pt idx="1207">
                  <c:v>42741</c:v>
                </c:pt>
                <c:pt idx="1208">
                  <c:v>42744</c:v>
                </c:pt>
                <c:pt idx="1209">
                  <c:v>42745</c:v>
                </c:pt>
                <c:pt idx="1210">
                  <c:v>42746</c:v>
                </c:pt>
                <c:pt idx="1211">
                  <c:v>42747</c:v>
                </c:pt>
                <c:pt idx="1212">
                  <c:v>42748</c:v>
                </c:pt>
                <c:pt idx="1213">
                  <c:v>42751</c:v>
                </c:pt>
                <c:pt idx="1214">
                  <c:v>42752</c:v>
                </c:pt>
                <c:pt idx="1215">
                  <c:v>42753</c:v>
                </c:pt>
                <c:pt idx="1216">
                  <c:v>42754</c:v>
                </c:pt>
                <c:pt idx="1217">
                  <c:v>42755</c:v>
                </c:pt>
                <c:pt idx="1218">
                  <c:v>42758</c:v>
                </c:pt>
                <c:pt idx="1219">
                  <c:v>42759</c:v>
                </c:pt>
                <c:pt idx="1220">
                  <c:v>42760</c:v>
                </c:pt>
                <c:pt idx="1221">
                  <c:v>42761</c:v>
                </c:pt>
                <c:pt idx="1222">
                  <c:v>42762</c:v>
                </c:pt>
                <c:pt idx="1223">
                  <c:v>42765</c:v>
                </c:pt>
                <c:pt idx="1224">
                  <c:v>42766</c:v>
                </c:pt>
                <c:pt idx="1225">
                  <c:v>42767</c:v>
                </c:pt>
                <c:pt idx="1226">
                  <c:v>42768</c:v>
                </c:pt>
                <c:pt idx="1227">
                  <c:v>42769</c:v>
                </c:pt>
                <c:pt idx="1228">
                  <c:v>42772</c:v>
                </c:pt>
                <c:pt idx="1229">
                  <c:v>42773</c:v>
                </c:pt>
                <c:pt idx="1230">
                  <c:v>42774</c:v>
                </c:pt>
                <c:pt idx="1231">
                  <c:v>42775</c:v>
                </c:pt>
                <c:pt idx="1232">
                  <c:v>42776</c:v>
                </c:pt>
                <c:pt idx="1233">
                  <c:v>42779</c:v>
                </c:pt>
                <c:pt idx="1234">
                  <c:v>42780</c:v>
                </c:pt>
                <c:pt idx="1235">
                  <c:v>42781</c:v>
                </c:pt>
                <c:pt idx="1236">
                  <c:v>42782</c:v>
                </c:pt>
                <c:pt idx="1237">
                  <c:v>42783</c:v>
                </c:pt>
                <c:pt idx="1238">
                  <c:v>42786</c:v>
                </c:pt>
                <c:pt idx="1239">
                  <c:v>42787</c:v>
                </c:pt>
                <c:pt idx="1240">
                  <c:v>42788</c:v>
                </c:pt>
                <c:pt idx="1241">
                  <c:v>42789</c:v>
                </c:pt>
                <c:pt idx="1242">
                  <c:v>42790</c:v>
                </c:pt>
                <c:pt idx="1243">
                  <c:v>42793</c:v>
                </c:pt>
                <c:pt idx="1244">
                  <c:v>42794</c:v>
                </c:pt>
                <c:pt idx="1245">
                  <c:v>42795</c:v>
                </c:pt>
                <c:pt idx="1246">
                  <c:v>42796</c:v>
                </c:pt>
                <c:pt idx="1247">
                  <c:v>42797</c:v>
                </c:pt>
                <c:pt idx="1248">
                  <c:v>42800</c:v>
                </c:pt>
                <c:pt idx="1249">
                  <c:v>42801</c:v>
                </c:pt>
                <c:pt idx="1250">
                  <c:v>42802</c:v>
                </c:pt>
                <c:pt idx="1251">
                  <c:v>42803</c:v>
                </c:pt>
                <c:pt idx="1252">
                  <c:v>42804</c:v>
                </c:pt>
                <c:pt idx="1253">
                  <c:v>42807</c:v>
                </c:pt>
                <c:pt idx="1254">
                  <c:v>42808</c:v>
                </c:pt>
                <c:pt idx="1255">
                  <c:v>42809</c:v>
                </c:pt>
                <c:pt idx="1256">
                  <c:v>42810</c:v>
                </c:pt>
                <c:pt idx="1257">
                  <c:v>42811</c:v>
                </c:pt>
                <c:pt idx="1258">
                  <c:v>42814</c:v>
                </c:pt>
                <c:pt idx="1259">
                  <c:v>42815</c:v>
                </c:pt>
                <c:pt idx="1260">
                  <c:v>42816</c:v>
                </c:pt>
                <c:pt idx="1261">
                  <c:v>42817</c:v>
                </c:pt>
                <c:pt idx="1262">
                  <c:v>42818</c:v>
                </c:pt>
                <c:pt idx="1263">
                  <c:v>42821</c:v>
                </c:pt>
                <c:pt idx="1264">
                  <c:v>42822</c:v>
                </c:pt>
                <c:pt idx="1265">
                  <c:v>42823</c:v>
                </c:pt>
                <c:pt idx="1266">
                  <c:v>42824</c:v>
                </c:pt>
                <c:pt idx="1267">
                  <c:v>42825</c:v>
                </c:pt>
              </c:numCache>
            </c:numRef>
          </c:cat>
          <c:val>
            <c:numRef>
              <c:f>Backups!$D$5:$D$1272</c:f>
              <c:numCache>
                <c:formatCode>#,##0.0_)_);\(#,##0.0\)_);\-_)_);@_)_)</c:formatCode>
                <c:ptCount val="1268"/>
                <c:pt idx="0">
                  <c:v>3.1148340000000001</c:v>
                </c:pt>
                <c:pt idx="1">
                  <c:v>2.1332119999999999</c:v>
                </c:pt>
                <c:pt idx="2">
                  <c:v>7.0040620000000002</c:v>
                </c:pt>
                <c:pt idx="3">
                  <c:v>2.6911879999999999</c:v>
                </c:pt>
                <c:pt idx="4">
                  <c:v>3.3424640000000001</c:v>
                </c:pt>
                <c:pt idx="5">
                  <c:v>3.2533159999999999</c:v>
                </c:pt>
                <c:pt idx="6">
                  <c:v>3.2066140000000001</c:v>
                </c:pt>
                <c:pt idx="7">
                  <c:v>3.7498200000000002</c:v>
                </c:pt>
                <c:pt idx="8">
                  <c:v>2.4361619999999999</c:v>
                </c:pt>
                <c:pt idx="9">
                  <c:v>4.0609820000000001</c:v>
                </c:pt>
                <c:pt idx="10">
                  <c:v>3.4912459999999998</c:v>
                </c:pt>
                <c:pt idx="11">
                  <c:v>3.511066</c:v>
                </c:pt>
                <c:pt idx="12">
                  <c:v>2.4280759999999999</c:v>
                </c:pt>
                <c:pt idx="13">
                  <c:v>2.6636980000000001</c:v>
                </c:pt>
                <c:pt idx="14">
                  <c:v>3.4919479999999998</c:v>
                </c:pt>
                <c:pt idx="15">
                  <c:v>3.0257459999999998</c:v>
                </c:pt>
                <c:pt idx="16">
                  <c:v>2.8562419999999999</c:v>
                </c:pt>
                <c:pt idx="17">
                  <c:v>1.966464</c:v>
                </c:pt>
                <c:pt idx="18">
                  <c:v>3.3031199999999998</c:v>
                </c:pt>
                <c:pt idx="19">
                  <c:v>2.3711739999999999</c:v>
                </c:pt>
                <c:pt idx="20">
                  <c:v>2.6289639999999999</c:v>
                </c:pt>
                <c:pt idx="21">
                  <c:v>1.8902699999999999</c:v>
                </c:pt>
                <c:pt idx="22">
                  <c:v>1.81646</c:v>
                </c:pt>
                <c:pt idx="23">
                  <c:v>2.0974740000000001</c:v>
                </c:pt>
                <c:pt idx="24">
                  <c:v>2.1346479999999999</c:v>
                </c:pt>
                <c:pt idx="25">
                  <c:v>2.7703660000000001</c:v>
                </c:pt>
                <c:pt idx="26">
                  <c:v>4.3279779999999999</c:v>
                </c:pt>
                <c:pt idx="27">
                  <c:v>7.3849999999999998</c:v>
                </c:pt>
                <c:pt idx="28">
                  <c:v>8.5559480000000008</c:v>
                </c:pt>
                <c:pt idx="29">
                  <c:v>4.6707520000000002</c:v>
                </c:pt>
                <c:pt idx="30">
                  <c:v>2.879588</c:v>
                </c:pt>
                <c:pt idx="31">
                  <c:v>3.482008</c:v>
                </c:pt>
                <c:pt idx="32">
                  <c:v>2.8959220000000001</c:v>
                </c:pt>
                <c:pt idx="33">
                  <c:v>2.1116459999999999</c:v>
                </c:pt>
                <c:pt idx="34">
                  <c:v>1.94208</c:v>
                </c:pt>
                <c:pt idx="35">
                  <c:v>2.0818300000000001</c:v>
                </c:pt>
                <c:pt idx="36">
                  <c:v>1.300224</c:v>
                </c:pt>
                <c:pt idx="37">
                  <c:v>1.2095359999999999</c:v>
                </c:pt>
                <c:pt idx="38">
                  <c:v>1.983752</c:v>
                </c:pt>
                <c:pt idx="39">
                  <c:v>2.0025080000000002</c:v>
                </c:pt>
                <c:pt idx="40">
                  <c:v>2.1747779999999999</c:v>
                </c:pt>
                <c:pt idx="41">
                  <c:v>1.6666859999999999</c:v>
                </c:pt>
                <c:pt idx="42">
                  <c:v>1.5013719999999999</c:v>
                </c:pt>
                <c:pt idx="43">
                  <c:v>2.0247359999999999</c:v>
                </c:pt>
                <c:pt idx="44">
                  <c:v>3.0199919999999998</c:v>
                </c:pt>
                <c:pt idx="45">
                  <c:v>2.2591199999999998</c:v>
                </c:pt>
                <c:pt idx="46">
                  <c:v>1.905842</c:v>
                </c:pt>
                <c:pt idx="47">
                  <c:v>1.989322</c:v>
                </c:pt>
                <c:pt idx="48">
                  <c:v>1.823634</c:v>
                </c:pt>
                <c:pt idx="49">
                  <c:v>1.6808399999999999</c:v>
                </c:pt>
                <c:pt idx="50">
                  <c:v>2.2025600000000001</c:v>
                </c:pt>
                <c:pt idx="51">
                  <c:v>4.1408240000000003</c:v>
                </c:pt>
                <c:pt idx="52">
                  <c:v>1.642954</c:v>
                </c:pt>
                <c:pt idx="53">
                  <c:v>2.3927800000000001</c:v>
                </c:pt>
                <c:pt idx="54">
                  <c:v>1.8147979999999999</c:v>
                </c:pt>
                <c:pt idx="55">
                  <c:v>1.7975559999999999</c:v>
                </c:pt>
                <c:pt idx="56">
                  <c:v>1.7587299999999999</c:v>
                </c:pt>
                <c:pt idx="57">
                  <c:v>2.8455460000000001</c:v>
                </c:pt>
                <c:pt idx="58">
                  <c:v>2.1216059999999999</c:v>
                </c:pt>
                <c:pt idx="59">
                  <c:v>2.410094</c:v>
                </c:pt>
                <c:pt idx="60">
                  <c:v>1.5407059999999999</c:v>
                </c:pt>
                <c:pt idx="61">
                  <c:v>2.1381519999999998</c:v>
                </c:pt>
                <c:pt idx="62">
                  <c:v>2.0072519999999998</c:v>
                </c:pt>
                <c:pt idx="63">
                  <c:v>2.3590260000000001</c:v>
                </c:pt>
                <c:pt idx="64">
                  <c:v>1.07647</c:v>
                </c:pt>
                <c:pt idx="65">
                  <c:v>1.645508</c:v>
                </c:pt>
                <c:pt idx="66">
                  <c:v>0.95999199999999996</c:v>
                </c:pt>
                <c:pt idx="67">
                  <c:v>0.82400399999999996</c:v>
                </c:pt>
                <c:pt idx="68">
                  <c:v>0.98077199999999998</c:v>
                </c:pt>
                <c:pt idx="69">
                  <c:v>0.96082000000000001</c:v>
                </c:pt>
                <c:pt idx="70">
                  <c:v>1.337232</c:v>
                </c:pt>
                <c:pt idx="71">
                  <c:v>0.90991599999999995</c:v>
                </c:pt>
                <c:pt idx="72">
                  <c:v>1.71177</c:v>
                </c:pt>
                <c:pt idx="73">
                  <c:v>2.04467</c:v>
                </c:pt>
                <c:pt idx="74">
                  <c:v>3.2234240000000001</c:v>
                </c:pt>
                <c:pt idx="75">
                  <c:v>1.2852319999999999</c:v>
                </c:pt>
                <c:pt idx="76">
                  <c:v>7.7351799999999997</c:v>
                </c:pt>
                <c:pt idx="77">
                  <c:v>2.3001260000000001</c:v>
                </c:pt>
                <c:pt idx="78">
                  <c:v>1.4903500000000001</c:v>
                </c:pt>
                <c:pt idx="79">
                  <c:v>1.889106</c:v>
                </c:pt>
                <c:pt idx="80">
                  <c:v>1.9621459999999999</c:v>
                </c:pt>
                <c:pt idx="81">
                  <c:v>1.46312</c:v>
                </c:pt>
                <c:pt idx="82">
                  <c:v>1.5924720000000001</c:v>
                </c:pt>
                <c:pt idx="83">
                  <c:v>1.713838</c:v>
                </c:pt>
                <c:pt idx="84">
                  <c:v>1.143032</c:v>
                </c:pt>
                <c:pt idx="85">
                  <c:v>2.410088</c:v>
                </c:pt>
                <c:pt idx="86">
                  <c:v>2.3026520000000001</c:v>
                </c:pt>
                <c:pt idx="87">
                  <c:v>2.1804260000000002</c:v>
                </c:pt>
                <c:pt idx="88">
                  <c:v>3.6418539999999999</c:v>
                </c:pt>
                <c:pt idx="89">
                  <c:v>2.0138419999999999</c:v>
                </c:pt>
                <c:pt idx="90">
                  <c:v>2.0455779999999999</c:v>
                </c:pt>
                <c:pt idx="91">
                  <c:v>1.54443</c:v>
                </c:pt>
                <c:pt idx="92">
                  <c:v>1.2907420000000001</c:v>
                </c:pt>
                <c:pt idx="93">
                  <c:v>0.713314</c:v>
                </c:pt>
                <c:pt idx="94">
                  <c:v>1.6216520000000001</c:v>
                </c:pt>
                <c:pt idx="95">
                  <c:v>2.2305359999999999</c:v>
                </c:pt>
                <c:pt idx="96">
                  <c:v>1.3893580000000001</c:v>
                </c:pt>
                <c:pt idx="97">
                  <c:v>2.694242</c:v>
                </c:pt>
                <c:pt idx="98">
                  <c:v>3.637216</c:v>
                </c:pt>
                <c:pt idx="99">
                  <c:v>1.280254</c:v>
                </c:pt>
                <c:pt idx="100">
                  <c:v>0.739012</c:v>
                </c:pt>
                <c:pt idx="101">
                  <c:v>1.9783280000000001</c:v>
                </c:pt>
                <c:pt idx="102">
                  <c:v>1.779366</c:v>
                </c:pt>
                <c:pt idx="103">
                  <c:v>1.4686140000000001</c:v>
                </c:pt>
                <c:pt idx="104">
                  <c:v>1.373378</c:v>
                </c:pt>
                <c:pt idx="105">
                  <c:v>1.5091000000000001</c:v>
                </c:pt>
                <c:pt idx="106">
                  <c:v>12.030989999999999</c:v>
                </c:pt>
                <c:pt idx="107">
                  <c:v>6.094506</c:v>
                </c:pt>
                <c:pt idx="108">
                  <c:v>2.700882</c:v>
                </c:pt>
                <c:pt idx="109">
                  <c:v>2.8176420000000002</c:v>
                </c:pt>
                <c:pt idx="110">
                  <c:v>2.6257359999999998</c:v>
                </c:pt>
                <c:pt idx="111">
                  <c:v>1.7703260000000001</c:v>
                </c:pt>
                <c:pt idx="112">
                  <c:v>1.996448</c:v>
                </c:pt>
                <c:pt idx="113">
                  <c:v>3.1329760000000002</c:v>
                </c:pt>
                <c:pt idx="114">
                  <c:v>2.153918</c:v>
                </c:pt>
                <c:pt idx="115">
                  <c:v>10.907439999999999</c:v>
                </c:pt>
                <c:pt idx="116">
                  <c:v>4.3051500000000003</c:v>
                </c:pt>
                <c:pt idx="117">
                  <c:v>1.9186799999999999</c:v>
                </c:pt>
                <c:pt idx="118">
                  <c:v>2.4654699999999998</c:v>
                </c:pt>
                <c:pt idx="119">
                  <c:v>1.872492</c:v>
                </c:pt>
                <c:pt idx="120">
                  <c:v>1.2068160000000001</c:v>
                </c:pt>
                <c:pt idx="121">
                  <c:v>2.9837660000000001</c:v>
                </c:pt>
                <c:pt idx="122">
                  <c:v>1.38473</c:v>
                </c:pt>
                <c:pt idx="123">
                  <c:v>1.3353159999999999</c:v>
                </c:pt>
                <c:pt idx="124">
                  <c:v>5.2524600000000001</c:v>
                </c:pt>
                <c:pt idx="125">
                  <c:v>2.596654</c:v>
                </c:pt>
                <c:pt idx="126">
                  <c:v>2.47695</c:v>
                </c:pt>
                <c:pt idx="127">
                  <c:v>2.2665660000000001</c:v>
                </c:pt>
                <c:pt idx="128">
                  <c:v>1.042278</c:v>
                </c:pt>
                <c:pt idx="129">
                  <c:v>1.073048</c:v>
                </c:pt>
                <c:pt idx="130">
                  <c:v>1.816856</c:v>
                </c:pt>
                <c:pt idx="131">
                  <c:v>1.103348</c:v>
                </c:pt>
                <c:pt idx="132">
                  <c:v>0.88128200000000001</c:v>
                </c:pt>
                <c:pt idx="133">
                  <c:v>1.448442</c:v>
                </c:pt>
                <c:pt idx="134">
                  <c:v>2.2275100000000001</c:v>
                </c:pt>
                <c:pt idx="135">
                  <c:v>1.5157560000000001</c:v>
                </c:pt>
                <c:pt idx="136">
                  <c:v>2.9553780000000001</c:v>
                </c:pt>
                <c:pt idx="137">
                  <c:v>2.1031599999999999</c:v>
                </c:pt>
                <c:pt idx="138">
                  <c:v>2.1140099999999999</c:v>
                </c:pt>
                <c:pt idx="139">
                  <c:v>4.9682240000000002</c:v>
                </c:pt>
                <c:pt idx="140">
                  <c:v>3.3876140000000001</c:v>
                </c:pt>
                <c:pt idx="141">
                  <c:v>3.444464</c:v>
                </c:pt>
                <c:pt idx="142">
                  <c:v>2.3581660000000002</c:v>
                </c:pt>
                <c:pt idx="143">
                  <c:v>1.4843759999999999</c:v>
                </c:pt>
                <c:pt idx="144">
                  <c:v>2.852112</c:v>
                </c:pt>
                <c:pt idx="145">
                  <c:v>5.1493159999999998</c:v>
                </c:pt>
                <c:pt idx="146">
                  <c:v>5.7354960000000004</c:v>
                </c:pt>
                <c:pt idx="147">
                  <c:v>1.850014</c:v>
                </c:pt>
                <c:pt idx="148">
                  <c:v>1.793674</c:v>
                </c:pt>
                <c:pt idx="149">
                  <c:v>1.709654</c:v>
                </c:pt>
                <c:pt idx="150">
                  <c:v>1.8202320000000001</c:v>
                </c:pt>
                <c:pt idx="151">
                  <c:v>1.4352819999999999</c:v>
                </c:pt>
                <c:pt idx="152">
                  <c:v>1.3531040000000001</c:v>
                </c:pt>
                <c:pt idx="153">
                  <c:v>1.525358</c:v>
                </c:pt>
                <c:pt idx="154">
                  <c:v>2.755592</c:v>
                </c:pt>
                <c:pt idx="155">
                  <c:v>2.856106</c:v>
                </c:pt>
                <c:pt idx="156">
                  <c:v>12.530084</c:v>
                </c:pt>
                <c:pt idx="157">
                  <c:v>7.8088860000000002</c:v>
                </c:pt>
                <c:pt idx="158">
                  <c:v>5.47011</c:v>
                </c:pt>
                <c:pt idx="159">
                  <c:v>24.192955999999999</c:v>
                </c:pt>
                <c:pt idx="160">
                  <c:v>6.1471340000000003</c:v>
                </c:pt>
                <c:pt idx="161">
                  <c:v>3.2785519999999999</c:v>
                </c:pt>
                <c:pt idx="162">
                  <c:v>2.768176</c:v>
                </c:pt>
                <c:pt idx="163">
                  <c:v>2.6005560000000001</c:v>
                </c:pt>
                <c:pt idx="164">
                  <c:v>2.4034900000000001</c:v>
                </c:pt>
                <c:pt idx="165">
                  <c:v>1.507344</c:v>
                </c:pt>
                <c:pt idx="166">
                  <c:v>1.794292</c:v>
                </c:pt>
                <c:pt idx="167">
                  <c:v>1.759798</c:v>
                </c:pt>
                <c:pt idx="168">
                  <c:v>2.5025200000000001</c:v>
                </c:pt>
                <c:pt idx="169">
                  <c:v>3.073674</c:v>
                </c:pt>
                <c:pt idx="170">
                  <c:v>1.8280799999999999</c:v>
                </c:pt>
                <c:pt idx="171">
                  <c:v>2.2862040000000001</c:v>
                </c:pt>
                <c:pt idx="172">
                  <c:v>3.4405559999999999</c:v>
                </c:pt>
                <c:pt idx="173">
                  <c:v>2.2120519999999999</c:v>
                </c:pt>
                <c:pt idx="174">
                  <c:v>2.370266</c:v>
                </c:pt>
                <c:pt idx="175">
                  <c:v>2.125454</c:v>
                </c:pt>
                <c:pt idx="176">
                  <c:v>2.151904</c:v>
                </c:pt>
                <c:pt idx="177">
                  <c:v>1.7668759999999999</c:v>
                </c:pt>
                <c:pt idx="178">
                  <c:v>1.6165339999999999</c:v>
                </c:pt>
                <c:pt idx="179">
                  <c:v>2.82402</c:v>
                </c:pt>
                <c:pt idx="180">
                  <c:v>4.0463100000000001</c:v>
                </c:pt>
                <c:pt idx="181">
                  <c:v>3.8805200000000002</c:v>
                </c:pt>
                <c:pt idx="182">
                  <c:v>2.0245959999999998</c:v>
                </c:pt>
                <c:pt idx="183">
                  <c:v>3.561696</c:v>
                </c:pt>
                <c:pt idx="184">
                  <c:v>7.1206019999999999</c:v>
                </c:pt>
                <c:pt idx="185">
                  <c:v>3.8907799999999999</c:v>
                </c:pt>
                <c:pt idx="186">
                  <c:v>4.3785420000000004</c:v>
                </c:pt>
                <c:pt idx="187">
                  <c:v>1.2368440000000001</c:v>
                </c:pt>
                <c:pt idx="188">
                  <c:v>2.4810460000000001</c:v>
                </c:pt>
                <c:pt idx="189">
                  <c:v>1.1475200000000001</c:v>
                </c:pt>
                <c:pt idx="190">
                  <c:v>1.1526080000000001</c:v>
                </c:pt>
                <c:pt idx="191">
                  <c:v>2.3502700000000001</c:v>
                </c:pt>
                <c:pt idx="192">
                  <c:v>1.804378</c:v>
                </c:pt>
                <c:pt idx="193">
                  <c:v>1.9639599999999999</c:v>
                </c:pt>
                <c:pt idx="194">
                  <c:v>2.2586040000000001</c:v>
                </c:pt>
                <c:pt idx="195">
                  <c:v>2.789628</c:v>
                </c:pt>
                <c:pt idx="196">
                  <c:v>2.2432859999999999</c:v>
                </c:pt>
                <c:pt idx="197">
                  <c:v>2.6168779999999998</c:v>
                </c:pt>
                <c:pt idx="198">
                  <c:v>4.9035339999999996</c:v>
                </c:pt>
                <c:pt idx="199">
                  <c:v>2.5913040000000001</c:v>
                </c:pt>
                <c:pt idx="200">
                  <c:v>2.636358</c:v>
                </c:pt>
                <c:pt idx="201">
                  <c:v>2.1937920000000002</c:v>
                </c:pt>
                <c:pt idx="202">
                  <c:v>2.9274420000000001</c:v>
                </c:pt>
                <c:pt idx="203">
                  <c:v>2.9206880000000002</c:v>
                </c:pt>
                <c:pt idx="204">
                  <c:v>1.5223660000000001</c:v>
                </c:pt>
                <c:pt idx="205">
                  <c:v>1.8183819999999999</c:v>
                </c:pt>
                <c:pt idx="206">
                  <c:v>1.480934</c:v>
                </c:pt>
                <c:pt idx="207">
                  <c:v>3.6514700000000002</c:v>
                </c:pt>
                <c:pt idx="208">
                  <c:v>2.395578</c:v>
                </c:pt>
                <c:pt idx="209">
                  <c:v>1.629624</c:v>
                </c:pt>
                <c:pt idx="210">
                  <c:v>2.6141000000000001</c:v>
                </c:pt>
                <c:pt idx="211">
                  <c:v>2.3430460000000002</c:v>
                </c:pt>
                <c:pt idx="212">
                  <c:v>2.1867800000000002</c:v>
                </c:pt>
                <c:pt idx="213">
                  <c:v>3.0498280000000002</c:v>
                </c:pt>
                <c:pt idx="214">
                  <c:v>1.598444</c:v>
                </c:pt>
                <c:pt idx="215">
                  <c:v>1.078438</c:v>
                </c:pt>
                <c:pt idx="216">
                  <c:v>2.4960059999999999</c:v>
                </c:pt>
                <c:pt idx="217">
                  <c:v>6.0080359999999997</c:v>
                </c:pt>
                <c:pt idx="218">
                  <c:v>3.2320700000000002</c:v>
                </c:pt>
                <c:pt idx="219">
                  <c:v>3.083116</c:v>
                </c:pt>
                <c:pt idx="220">
                  <c:v>1.74865</c:v>
                </c:pt>
                <c:pt idx="221">
                  <c:v>1.208504</c:v>
                </c:pt>
                <c:pt idx="222">
                  <c:v>2.1015920000000001</c:v>
                </c:pt>
                <c:pt idx="223">
                  <c:v>2.3591039999999999</c:v>
                </c:pt>
                <c:pt idx="224">
                  <c:v>1.697084</c:v>
                </c:pt>
                <c:pt idx="225">
                  <c:v>2.9525079999999999</c:v>
                </c:pt>
                <c:pt idx="226">
                  <c:v>4.6499920000000001</c:v>
                </c:pt>
                <c:pt idx="227">
                  <c:v>2.8182260000000001</c:v>
                </c:pt>
                <c:pt idx="228">
                  <c:v>1.9418899999999999</c:v>
                </c:pt>
                <c:pt idx="229">
                  <c:v>3.478828</c:v>
                </c:pt>
                <c:pt idx="230">
                  <c:v>1.949586</c:v>
                </c:pt>
                <c:pt idx="231">
                  <c:v>3.4092799999999999</c:v>
                </c:pt>
                <c:pt idx="232">
                  <c:v>3.6081379999999998</c:v>
                </c:pt>
                <c:pt idx="233">
                  <c:v>1.7331540000000001</c:v>
                </c:pt>
                <c:pt idx="234">
                  <c:v>4.4925160000000002</c:v>
                </c:pt>
                <c:pt idx="235">
                  <c:v>5.225346</c:v>
                </c:pt>
                <c:pt idx="236">
                  <c:v>3.2841580000000001</c:v>
                </c:pt>
                <c:pt idx="237">
                  <c:v>2.04433</c:v>
                </c:pt>
                <c:pt idx="238">
                  <c:v>1.953152</c:v>
                </c:pt>
                <c:pt idx="239">
                  <c:v>2.0593020000000002</c:v>
                </c:pt>
                <c:pt idx="240">
                  <c:v>1.292006</c:v>
                </c:pt>
                <c:pt idx="241">
                  <c:v>1.428936</c:v>
                </c:pt>
                <c:pt idx="242">
                  <c:v>3.111056</c:v>
                </c:pt>
                <c:pt idx="243">
                  <c:v>1.4717560000000001</c:v>
                </c:pt>
                <c:pt idx="244">
                  <c:v>3.29643</c:v>
                </c:pt>
                <c:pt idx="245">
                  <c:v>3.7609520000000001</c:v>
                </c:pt>
                <c:pt idx="246">
                  <c:v>2.5310800000000002</c:v>
                </c:pt>
                <c:pt idx="247">
                  <c:v>2.678382</c:v>
                </c:pt>
                <c:pt idx="248">
                  <c:v>2.5615239999999999</c:v>
                </c:pt>
                <c:pt idx="249">
                  <c:v>1.7022219999999999</c:v>
                </c:pt>
                <c:pt idx="250">
                  <c:v>1.2081</c:v>
                </c:pt>
                <c:pt idx="251">
                  <c:v>1.5085</c:v>
                </c:pt>
                <c:pt idx="252">
                  <c:v>1.48478</c:v>
                </c:pt>
                <c:pt idx="253">
                  <c:v>1.5848819999999999</c:v>
                </c:pt>
                <c:pt idx="254">
                  <c:v>1.586692</c:v>
                </c:pt>
                <c:pt idx="255">
                  <c:v>1.856692</c:v>
                </c:pt>
                <c:pt idx="256">
                  <c:v>2.1126499999999999</c:v>
                </c:pt>
                <c:pt idx="257">
                  <c:v>2.5074519999999998</c:v>
                </c:pt>
                <c:pt idx="258">
                  <c:v>2.6954980000000002</c:v>
                </c:pt>
                <c:pt idx="259">
                  <c:v>1.2107680000000001</c:v>
                </c:pt>
                <c:pt idx="260">
                  <c:v>1.227252</c:v>
                </c:pt>
                <c:pt idx="261">
                  <c:v>1.95953</c:v>
                </c:pt>
                <c:pt idx="262">
                  <c:v>3.452016</c:v>
                </c:pt>
                <c:pt idx="263">
                  <c:v>1.22028</c:v>
                </c:pt>
                <c:pt idx="264">
                  <c:v>1.4329620000000001</c:v>
                </c:pt>
                <c:pt idx="265">
                  <c:v>2.1212059999999999</c:v>
                </c:pt>
                <c:pt idx="266">
                  <c:v>1.9685520000000001</c:v>
                </c:pt>
                <c:pt idx="267">
                  <c:v>1.9228179999999999</c:v>
                </c:pt>
                <c:pt idx="268">
                  <c:v>1.5818019999999999</c:v>
                </c:pt>
                <c:pt idx="269">
                  <c:v>2.3029639999999998</c:v>
                </c:pt>
                <c:pt idx="270">
                  <c:v>2.0856680000000001</c:v>
                </c:pt>
                <c:pt idx="271">
                  <c:v>2.8094459999999999</c:v>
                </c:pt>
                <c:pt idx="272">
                  <c:v>1.9321619999999999</c:v>
                </c:pt>
                <c:pt idx="273">
                  <c:v>3.2148000000000003E-2</c:v>
                </c:pt>
                <c:pt idx="274">
                  <c:v>2.0112519999999998</c:v>
                </c:pt>
                <c:pt idx="275">
                  <c:v>3.3802560000000001</c:v>
                </c:pt>
                <c:pt idx="276">
                  <c:v>1.730308</c:v>
                </c:pt>
                <c:pt idx="277">
                  <c:v>2.7939340000000001</c:v>
                </c:pt>
                <c:pt idx="278">
                  <c:v>5.4088719999999997</c:v>
                </c:pt>
                <c:pt idx="279">
                  <c:v>4.3714199999999996</c:v>
                </c:pt>
                <c:pt idx="280">
                  <c:v>2.5565159999999998</c:v>
                </c:pt>
                <c:pt idx="281">
                  <c:v>1.786586</c:v>
                </c:pt>
                <c:pt idx="282">
                  <c:v>1.5026999999999999</c:v>
                </c:pt>
                <c:pt idx="283">
                  <c:v>2.1574559999999998</c:v>
                </c:pt>
                <c:pt idx="284">
                  <c:v>2.7807140000000001</c:v>
                </c:pt>
                <c:pt idx="285">
                  <c:v>2.8237559999999999</c:v>
                </c:pt>
                <c:pt idx="286">
                  <c:v>4.3541080000000001</c:v>
                </c:pt>
                <c:pt idx="287">
                  <c:v>1.1093139999999999</c:v>
                </c:pt>
                <c:pt idx="288">
                  <c:v>1.3252120000000001</c:v>
                </c:pt>
                <c:pt idx="289">
                  <c:v>2.487778</c:v>
                </c:pt>
                <c:pt idx="290">
                  <c:v>2.1047440000000002</c:v>
                </c:pt>
                <c:pt idx="291">
                  <c:v>1.3036859999999999</c:v>
                </c:pt>
                <c:pt idx="292">
                  <c:v>2.2957260000000002</c:v>
                </c:pt>
                <c:pt idx="293">
                  <c:v>3.059002</c:v>
                </c:pt>
                <c:pt idx="294">
                  <c:v>2.6740499999999998</c:v>
                </c:pt>
                <c:pt idx="295">
                  <c:v>2.2842799999999999</c:v>
                </c:pt>
                <c:pt idx="296">
                  <c:v>3.0884179999999999</c:v>
                </c:pt>
                <c:pt idx="297">
                  <c:v>1.644862</c:v>
                </c:pt>
                <c:pt idx="298">
                  <c:v>1.7172860000000001</c:v>
                </c:pt>
                <c:pt idx="299">
                  <c:v>2.0588299999999999</c:v>
                </c:pt>
                <c:pt idx="300">
                  <c:v>2.640752</c:v>
                </c:pt>
                <c:pt idx="301">
                  <c:v>3.1512859999999998</c:v>
                </c:pt>
                <c:pt idx="302">
                  <c:v>2.8548260000000001</c:v>
                </c:pt>
                <c:pt idx="303">
                  <c:v>2.6843840000000001</c:v>
                </c:pt>
                <c:pt idx="304">
                  <c:v>2.2123680000000001</c:v>
                </c:pt>
                <c:pt idx="305">
                  <c:v>1.377464</c:v>
                </c:pt>
                <c:pt idx="306">
                  <c:v>3.0552139999999999</c:v>
                </c:pt>
                <c:pt idx="307">
                  <c:v>2.367982</c:v>
                </c:pt>
                <c:pt idx="308">
                  <c:v>2.4977100000000001</c:v>
                </c:pt>
                <c:pt idx="309">
                  <c:v>2.249946</c:v>
                </c:pt>
                <c:pt idx="310">
                  <c:v>1.743268</c:v>
                </c:pt>
                <c:pt idx="311">
                  <c:v>1.1131139999999999</c:v>
                </c:pt>
                <c:pt idx="312">
                  <c:v>1.25386</c:v>
                </c:pt>
                <c:pt idx="313">
                  <c:v>1.1111839999999999</c:v>
                </c:pt>
                <c:pt idx="314">
                  <c:v>0.84809199999999996</c:v>
                </c:pt>
                <c:pt idx="315">
                  <c:v>1.7749299999999999</c:v>
                </c:pt>
                <c:pt idx="316">
                  <c:v>1.2885519999999999</c:v>
                </c:pt>
                <c:pt idx="317">
                  <c:v>1.656846</c:v>
                </c:pt>
                <c:pt idx="318">
                  <c:v>0.97601400000000005</c:v>
                </c:pt>
                <c:pt idx="319">
                  <c:v>1.0972139999999999</c:v>
                </c:pt>
                <c:pt idx="320">
                  <c:v>1.286476</c:v>
                </c:pt>
                <c:pt idx="321">
                  <c:v>1.348522</c:v>
                </c:pt>
                <c:pt idx="322">
                  <c:v>2.7911820000000001</c:v>
                </c:pt>
                <c:pt idx="323">
                  <c:v>1.9159980000000001</c:v>
                </c:pt>
                <c:pt idx="324">
                  <c:v>2.8228900000000001</c:v>
                </c:pt>
                <c:pt idx="325">
                  <c:v>2.6672899999999999</c:v>
                </c:pt>
                <c:pt idx="326">
                  <c:v>2.0601319999999999</c:v>
                </c:pt>
                <c:pt idx="327">
                  <c:v>1.2739659999999999</c:v>
                </c:pt>
                <c:pt idx="328">
                  <c:v>0.86099599999999998</c:v>
                </c:pt>
                <c:pt idx="329">
                  <c:v>1.800932</c:v>
                </c:pt>
                <c:pt idx="330">
                  <c:v>1.489188</c:v>
                </c:pt>
                <c:pt idx="331">
                  <c:v>1.177778</c:v>
                </c:pt>
                <c:pt idx="332">
                  <c:v>1.0445599999999999</c:v>
                </c:pt>
                <c:pt idx="333">
                  <c:v>1.798122</c:v>
                </c:pt>
                <c:pt idx="334">
                  <c:v>1.614358</c:v>
                </c:pt>
                <c:pt idx="335">
                  <c:v>1.481644</c:v>
                </c:pt>
                <c:pt idx="336">
                  <c:v>1.8739479999999999</c:v>
                </c:pt>
                <c:pt idx="337">
                  <c:v>1.666552</c:v>
                </c:pt>
                <c:pt idx="338">
                  <c:v>4.0031800000000004</c:v>
                </c:pt>
                <c:pt idx="339">
                  <c:v>11.860253999999999</c:v>
                </c:pt>
                <c:pt idx="340">
                  <c:v>5.9244839999999996</c:v>
                </c:pt>
                <c:pt idx="341">
                  <c:v>2.1478440000000001</c:v>
                </c:pt>
                <c:pt idx="342">
                  <c:v>1.258462</c:v>
                </c:pt>
                <c:pt idx="343">
                  <c:v>1.092198</c:v>
                </c:pt>
                <c:pt idx="344">
                  <c:v>2.3037580000000002</c:v>
                </c:pt>
                <c:pt idx="345">
                  <c:v>1.6554260000000001</c:v>
                </c:pt>
                <c:pt idx="346">
                  <c:v>1.7984439999999999</c:v>
                </c:pt>
                <c:pt idx="347">
                  <c:v>1.9038900000000001</c:v>
                </c:pt>
                <c:pt idx="348">
                  <c:v>1.8167279999999999</c:v>
                </c:pt>
                <c:pt idx="349">
                  <c:v>1.3652420000000001</c:v>
                </c:pt>
                <c:pt idx="350">
                  <c:v>1.574854</c:v>
                </c:pt>
                <c:pt idx="351">
                  <c:v>0.95640599999999998</c:v>
                </c:pt>
                <c:pt idx="352">
                  <c:v>0.65950799999999998</c:v>
                </c:pt>
                <c:pt idx="353">
                  <c:v>1.3888419999999999</c:v>
                </c:pt>
                <c:pt idx="354">
                  <c:v>1.40032</c:v>
                </c:pt>
                <c:pt idx="355">
                  <c:v>1.267978</c:v>
                </c:pt>
                <c:pt idx="356">
                  <c:v>1.333172</c:v>
                </c:pt>
                <c:pt idx="357">
                  <c:v>1.364168</c:v>
                </c:pt>
                <c:pt idx="358">
                  <c:v>1.2416940000000001</c:v>
                </c:pt>
                <c:pt idx="359">
                  <c:v>1.8111280000000001</c:v>
                </c:pt>
                <c:pt idx="360">
                  <c:v>1.0819479999999999</c:v>
                </c:pt>
                <c:pt idx="361">
                  <c:v>3.1067580000000001</c:v>
                </c:pt>
                <c:pt idx="362">
                  <c:v>1.3533919999999999</c:v>
                </c:pt>
                <c:pt idx="363">
                  <c:v>3.680828</c:v>
                </c:pt>
                <c:pt idx="364">
                  <c:v>2.1839200000000001</c:v>
                </c:pt>
                <c:pt idx="365">
                  <c:v>1.923438</c:v>
                </c:pt>
                <c:pt idx="366">
                  <c:v>1.3519920000000001</c:v>
                </c:pt>
                <c:pt idx="367">
                  <c:v>1.6932720000000001</c:v>
                </c:pt>
                <c:pt idx="368">
                  <c:v>2.3396080000000001</c:v>
                </c:pt>
                <c:pt idx="369">
                  <c:v>2.984572</c:v>
                </c:pt>
                <c:pt idx="370">
                  <c:v>2.0502159999999998</c:v>
                </c:pt>
                <c:pt idx="371">
                  <c:v>2.8501319999999999</c:v>
                </c:pt>
                <c:pt idx="372">
                  <c:v>3.1496279999999999</c:v>
                </c:pt>
                <c:pt idx="373">
                  <c:v>2.5575839999999999</c:v>
                </c:pt>
                <c:pt idx="374">
                  <c:v>1.3318140000000001</c:v>
                </c:pt>
                <c:pt idx="375">
                  <c:v>1.9219539999999999</c:v>
                </c:pt>
                <c:pt idx="376">
                  <c:v>1.43547</c:v>
                </c:pt>
                <c:pt idx="377">
                  <c:v>4.8838460000000001</c:v>
                </c:pt>
                <c:pt idx="378">
                  <c:v>2.2506979999999999</c:v>
                </c:pt>
                <c:pt idx="379">
                  <c:v>1.61151</c:v>
                </c:pt>
                <c:pt idx="380">
                  <c:v>1.744588</c:v>
                </c:pt>
                <c:pt idx="381">
                  <c:v>2.24823</c:v>
                </c:pt>
                <c:pt idx="382">
                  <c:v>2.392204</c:v>
                </c:pt>
                <c:pt idx="383">
                  <c:v>1.652072</c:v>
                </c:pt>
                <c:pt idx="384">
                  <c:v>1.04531</c:v>
                </c:pt>
                <c:pt idx="385">
                  <c:v>1.03965</c:v>
                </c:pt>
                <c:pt idx="386">
                  <c:v>2.5988479999999998</c:v>
                </c:pt>
                <c:pt idx="387">
                  <c:v>1.603448</c:v>
                </c:pt>
                <c:pt idx="388">
                  <c:v>1.5019439999999999</c:v>
                </c:pt>
                <c:pt idx="389">
                  <c:v>1.70581</c:v>
                </c:pt>
                <c:pt idx="390">
                  <c:v>1.3598060000000001</c:v>
                </c:pt>
                <c:pt idx="391">
                  <c:v>1.75356</c:v>
                </c:pt>
                <c:pt idx="392">
                  <c:v>1.6574500000000001</c:v>
                </c:pt>
                <c:pt idx="393">
                  <c:v>3.2743899999999999</c:v>
                </c:pt>
                <c:pt idx="394">
                  <c:v>3.8612739999999999</c:v>
                </c:pt>
                <c:pt idx="395">
                  <c:v>6.6236680000000003</c:v>
                </c:pt>
                <c:pt idx="396">
                  <c:v>2.2421679999999999</c:v>
                </c:pt>
                <c:pt idx="397">
                  <c:v>1.9852719999999999</c:v>
                </c:pt>
                <c:pt idx="398">
                  <c:v>3.8971719999999999</c:v>
                </c:pt>
                <c:pt idx="399">
                  <c:v>1.0258659999999999</c:v>
                </c:pt>
                <c:pt idx="400">
                  <c:v>2.050818</c:v>
                </c:pt>
                <c:pt idx="401">
                  <c:v>1.0299700000000001</c:v>
                </c:pt>
                <c:pt idx="402">
                  <c:v>1.3306039999999999</c:v>
                </c:pt>
                <c:pt idx="403">
                  <c:v>2.8083480000000001</c:v>
                </c:pt>
                <c:pt idx="404">
                  <c:v>1.2457560000000001</c:v>
                </c:pt>
                <c:pt idx="405">
                  <c:v>2.3176580000000002</c:v>
                </c:pt>
                <c:pt idx="406">
                  <c:v>2.430688</c:v>
                </c:pt>
                <c:pt idx="407">
                  <c:v>1.7160500000000001</c:v>
                </c:pt>
                <c:pt idx="408">
                  <c:v>1.6854180000000001</c:v>
                </c:pt>
                <c:pt idx="409">
                  <c:v>1.956288</c:v>
                </c:pt>
                <c:pt idx="410">
                  <c:v>6.7112660000000002</c:v>
                </c:pt>
                <c:pt idx="411">
                  <c:v>2.26363</c:v>
                </c:pt>
                <c:pt idx="412">
                  <c:v>3.798934</c:v>
                </c:pt>
                <c:pt idx="413">
                  <c:v>2.2672859999999999</c:v>
                </c:pt>
                <c:pt idx="414">
                  <c:v>1.4590000000000001</c:v>
                </c:pt>
                <c:pt idx="415">
                  <c:v>2.6721539999999999</c:v>
                </c:pt>
                <c:pt idx="416">
                  <c:v>1.310038</c:v>
                </c:pt>
                <c:pt idx="417">
                  <c:v>1.015898</c:v>
                </c:pt>
                <c:pt idx="418">
                  <c:v>1.754896</c:v>
                </c:pt>
                <c:pt idx="419">
                  <c:v>1.5288839999999999</c:v>
                </c:pt>
                <c:pt idx="420">
                  <c:v>4.5186479999999998</c:v>
                </c:pt>
                <c:pt idx="421">
                  <c:v>3.6487639999999999</c:v>
                </c:pt>
                <c:pt idx="422">
                  <c:v>3.2842880000000001</c:v>
                </c:pt>
                <c:pt idx="423">
                  <c:v>2.9424239999999999</c:v>
                </c:pt>
                <c:pt idx="424">
                  <c:v>5.0214740000000004</c:v>
                </c:pt>
                <c:pt idx="425">
                  <c:v>3.5007920000000001</c:v>
                </c:pt>
                <c:pt idx="426">
                  <c:v>2.2696519999999998</c:v>
                </c:pt>
                <c:pt idx="427">
                  <c:v>1.137494</c:v>
                </c:pt>
                <c:pt idx="428">
                  <c:v>1.553442</c:v>
                </c:pt>
                <c:pt idx="429">
                  <c:v>1.66747</c:v>
                </c:pt>
                <c:pt idx="430">
                  <c:v>1.4241839999999999</c:v>
                </c:pt>
                <c:pt idx="431">
                  <c:v>1.800778</c:v>
                </c:pt>
                <c:pt idx="432">
                  <c:v>2.1168999999999998</c:v>
                </c:pt>
                <c:pt idx="433">
                  <c:v>1.6725859999999999</c:v>
                </c:pt>
                <c:pt idx="434">
                  <c:v>2.2754120000000002</c:v>
                </c:pt>
                <c:pt idx="435">
                  <c:v>1.9282459999999999</c:v>
                </c:pt>
                <c:pt idx="436">
                  <c:v>2.0296099999999999</c:v>
                </c:pt>
                <c:pt idx="437">
                  <c:v>0.87182800000000005</c:v>
                </c:pt>
                <c:pt idx="438">
                  <c:v>1.8401259999999999</c:v>
                </c:pt>
                <c:pt idx="439">
                  <c:v>1.28325</c:v>
                </c:pt>
                <c:pt idx="440">
                  <c:v>1.638066</c:v>
                </c:pt>
                <c:pt idx="441">
                  <c:v>1.1873480000000001</c:v>
                </c:pt>
                <c:pt idx="442">
                  <c:v>1.1456500000000001</c:v>
                </c:pt>
                <c:pt idx="443">
                  <c:v>1.871888</c:v>
                </c:pt>
                <c:pt idx="444">
                  <c:v>1.8978120000000001</c:v>
                </c:pt>
                <c:pt idx="445">
                  <c:v>2.029522</c:v>
                </c:pt>
                <c:pt idx="446">
                  <c:v>2.5207480000000002</c:v>
                </c:pt>
                <c:pt idx="447">
                  <c:v>5.8524419999999999</c:v>
                </c:pt>
                <c:pt idx="448">
                  <c:v>2.3994219999999999</c:v>
                </c:pt>
                <c:pt idx="449">
                  <c:v>2.0547019999999998</c:v>
                </c:pt>
                <c:pt idx="450">
                  <c:v>2.1912440000000002</c:v>
                </c:pt>
                <c:pt idx="451">
                  <c:v>1.129712</c:v>
                </c:pt>
                <c:pt idx="452">
                  <c:v>0.78850200000000004</c:v>
                </c:pt>
                <c:pt idx="453">
                  <c:v>3.4227059999999998</c:v>
                </c:pt>
                <c:pt idx="454">
                  <c:v>1.4269940000000001</c:v>
                </c:pt>
                <c:pt idx="455">
                  <c:v>1.6652940000000001</c:v>
                </c:pt>
                <c:pt idx="456">
                  <c:v>1.519072</c:v>
                </c:pt>
                <c:pt idx="457">
                  <c:v>1.3743920000000001</c:v>
                </c:pt>
                <c:pt idx="458">
                  <c:v>1.2761899999999999</c:v>
                </c:pt>
                <c:pt idx="459">
                  <c:v>2.4057499999999998</c:v>
                </c:pt>
                <c:pt idx="460">
                  <c:v>3.8606760000000002</c:v>
                </c:pt>
                <c:pt idx="461">
                  <c:v>2.8628279999999999</c:v>
                </c:pt>
                <c:pt idx="462">
                  <c:v>1.738202</c:v>
                </c:pt>
                <c:pt idx="463">
                  <c:v>2.0316860000000001</c:v>
                </c:pt>
                <c:pt idx="464">
                  <c:v>1.4303980000000001</c:v>
                </c:pt>
                <c:pt idx="465">
                  <c:v>2.1203280000000002</c:v>
                </c:pt>
                <c:pt idx="466">
                  <c:v>2.2799040000000002</c:v>
                </c:pt>
                <c:pt idx="467">
                  <c:v>1.363928</c:v>
                </c:pt>
                <c:pt idx="468">
                  <c:v>0.95397799999999999</c:v>
                </c:pt>
                <c:pt idx="469">
                  <c:v>3.1000220000000001</c:v>
                </c:pt>
                <c:pt idx="470">
                  <c:v>1.247136</c:v>
                </c:pt>
                <c:pt idx="471">
                  <c:v>3.33446</c:v>
                </c:pt>
                <c:pt idx="472">
                  <c:v>1.256108</c:v>
                </c:pt>
                <c:pt idx="473">
                  <c:v>2.56501</c:v>
                </c:pt>
                <c:pt idx="474">
                  <c:v>1.2484</c:v>
                </c:pt>
                <c:pt idx="475">
                  <c:v>1.4121300000000001</c:v>
                </c:pt>
                <c:pt idx="476">
                  <c:v>1.1537599999999999</c:v>
                </c:pt>
                <c:pt idx="477">
                  <c:v>1.613124</c:v>
                </c:pt>
                <c:pt idx="478">
                  <c:v>1.001528</c:v>
                </c:pt>
                <c:pt idx="479">
                  <c:v>1.541488</c:v>
                </c:pt>
                <c:pt idx="480">
                  <c:v>1.328956</c:v>
                </c:pt>
                <c:pt idx="481">
                  <c:v>1.080654</c:v>
                </c:pt>
                <c:pt idx="482">
                  <c:v>2.2033360000000002</c:v>
                </c:pt>
                <c:pt idx="483">
                  <c:v>1.1929559999999999</c:v>
                </c:pt>
                <c:pt idx="484">
                  <c:v>1.3793580000000001</c:v>
                </c:pt>
                <c:pt idx="485">
                  <c:v>1.0980300000000001</c:v>
                </c:pt>
                <c:pt idx="486">
                  <c:v>1.0623320000000001</c:v>
                </c:pt>
                <c:pt idx="487">
                  <c:v>2.63476</c:v>
                </c:pt>
                <c:pt idx="488">
                  <c:v>2.3744800000000001</c:v>
                </c:pt>
                <c:pt idx="489">
                  <c:v>16.334516000000001</c:v>
                </c:pt>
                <c:pt idx="490">
                  <c:v>8.2409079999999992</c:v>
                </c:pt>
                <c:pt idx="491">
                  <c:v>4.5831499999999998</c:v>
                </c:pt>
                <c:pt idx="492">
                  <c:v>3.2584140000000001</c:v>
                </c:pt>
                <c:pt idx="493">
                  <c:v>3.0901179999999999</c:v>
                </c:pt>
                <c:pt idx="494">
                  <c:v>2.3330440000000001</c:v>
                </c:pt>
                <c:pt idx="495">
                  <c:v>2.7859060000000002</c:v>
                </c:pt>
                <c:pt idx="496">
                  <c:v>2.6561900000000001</c:v>
                </c:pt>
                <c:pt idx="497">
                  <c:v>1.60294</c:v>
                </c:pt>
                <c:pt idx="498">
                  <c:v>1.4087620000000001</c:v>
                </c:pt>
                <c:pt idx="499">
                  <c:v>2.13463</c:v>
                </c:pt>
                <c:pt idx="500">
                  <c:v>2.4114179999999998</c:v>
                </c:pt>
                <c:pt idx="501">
                  <c:v>2.611078</c:v>
                </c:pt>
                <c:pt idx="502">
                  <c:v>3.3733740000000001</c:v>
                </c:pt>
                <c:pt idx="503">
                  <c:v>2.4676659999999999</c:v>
                </c:pt>
                <c:pt idx="504">
                  <c:v>2.7023459999999999</c:v>
                </c:pt>
                <c:pt idx="505">
                  <c:v>3.3354439999999999</c:v>
                </c:pt>
                <c:pt idx="506">
                  <c:v>6.1211779999999996</c:v>
                </c:pt>
                <c:pt idx="507">
                  <c:v>3.2605140000000001</c:v>
                </c:pt>
                <c:pt idx="508">
                  <c:v>2.3791880000000001</c:v>
                </c:pt>
                <c:pt idx="509">
                  <c:v>2.8933360000000001</c:v>
                </c:pt>
                <c:pt idx="510">
                  <c:v>2.5445660000000001</c:v>
                </c:pt>
                <c:pt idx="511">
                  <c:v>2.693692</c:v>
                </c:pt>
                <c:pt idx="512">
                  <c:v>5.0727279999999997</c:v>
                </c:pt>
                <c:pt idx="513">
                  <c:v>5.4495639999999996</c:v>
                </c:pt>
                <c:pt idx="514">
                  <c:v>4.3123820000000004</c:v>
                </c:pt>
                <c:pt idx="515">
                  <c:v>5.3483239999999999</c:v>
                </c:pt>
                <c:pt idx="516">
                  <c:v>2.7066080000000001</c:v>
                </c:pt>
                <c:pt idx="517">
                  <c:v>1.75637</c:v>
                </c:pt>
                <c:pt idx="518">
                  <c:v>2.0532400000000002</c:v>
                </c:pt>
                <c:pt idx="519">
                  <c:v>1.3210500000000001</c:v>
                </c:pt>
                <c:pt idx="520">
                  <c:v>1.651402</c:v>
                </c:pt>
                <c:pt idx="521">
                  <c:v>2.5601400000000001</c:v>
                </c:pt>
                <c:pt idx="522">
                  <c:v>1.50718</c:v>
                </c:pt>
                <c:pt idx="523">
                  <c:v>1.646638</c:v>
                </c:pt>
                <c:pt idx="524">
                  <c:v>1.4693419999999999</c:v>
                </c:pt>
                <c:pt idx="525">
                  <c:v>2.2564340000000001</c:v>
                </c:pt>
                <c:pt idx="526">
                  <c:v>1.9018539999999999</c:v>
                </c:pt>
                <c:pt idx="527">
                  <c:v>2.8188300000000002</c:v>
                </c:pt>
                <c:pt idx="528">
                  <c:v>2.001932</c:v>
                </c:pt>
                <c:pt idx="529">
                  <c:v>3.6078739999999998</c:v>
                </c:pt>
                <c:pt idx="530">
                  <c:v>10.986660000000001</c:v>
                </c:pt>
                <c:pt idx="531">
                  <c:v>3.3152879999999998</c:v>
                </c:pt>
                <c:pt idx="532">
                  <c:v>2.9423499999999998</c:v>
                </c:pt>
                <c:pt idx="533">
                  <c:v>3.838794</c:v>
                </c:pt>
                <c:pt idx="534">
                  <c:v>2.2599559999999999</c:v>
                </c:pt>
                <c:pt idx="535">
                  <c:v>1.3449500000000001</c:v>
                </c:pt>
                <c:pt idx="536">
                  <c:v>1.4804360000000001</c:v>
                </c:pt>
                <c:pt idx="537">
                  <c:v>1.699708</c:v>
                </c:pt>
                <c:pt idx="538">
                  <c:v>1.811474</c:v>
                </c:pt>
                <c:pt idx="539">
                  <c:v>2.048432</c:v>
                </c:pt>
                <c:pt idx="540">
                  <c:v>1.4846999999999999</c:v>
                </c:pt>
                <c:pt idx="541">
                  <c:v>1.193244</c:v>
                </c:pt>
                <c:pt idx="542">
                  <c:v>1.602946</c:v>
                </c:pt>
                <c:pt idx="543">
                  <c:v>1.4433860000000001</c:v>
                </c:pt>
                <c:pt idx="544">
                  <c:v>0.83977800000000002</c:v>
                </c:pt>
                <c:pt idx="545">
                  <c:v>2.4329399999999999</c:v>
                </c:pt>
                <c:pt idx="546">
                  <c:v>1.7309000000000001</c:v>
                </c:pt>
                <c:pt idx="547">
                  <c:v>1.753984</c:v>
                </c:pt>
                <c:pt idx="548">
                  <c:v>1.3166180000000001</c:v>
                </c:pt>
                <c:pt idx="549">
                  <c:v>1.4157660000000001</c:v>
                </c:pt>
                <c:pt idx="550">
                  <c:v>1.42622</c:v>
                </c:pt>
                <c:pt idx="551">
                  <c:v>1.132112</c:v>
                </c:pt>
                <c:pt idx="552">
                  <c:v>0.79179200000000005</c:v>
                </c:pt>
                <c:pt idx="553">
                  <c:v>1.4766239999999999</c:v>
                </c:pt>
                <c:pt idx="554">
                  <c:v>1.3529800000000001</c:v>
                </c:pt>
                <c:pt idx="555">
                  <c:v>1.040548</c:v>
                </c:pt>
                <c:pt idx="556">
                  <c:v>2.7445339999999998</c:v>
                </c:pt>
                <c:pt idx="557">
                  <c:v>2.8784900000000002</c:v>
                </c:pt>
                <c:pt idx="558">
                  <c:v>2.0263840000000002</c:v>
                </c:pt>
                <c:pt idx="559">
                  <c:v>2.1900539999999999</c:v>
                </c:pt>
                <c:pt idx="560">
                  <c:v>1.2799700000000001</c:v>
                </c:pt>
                <c:pt idx="561">
                  <c:v>1.2249680000000001</c:v>
                </c:pt>
                <c:pt idx="562">
                  <c:v>1.396034</c:v>
                </c:pt>
                <c:pt idx="563">
                  <c:v>0.78932999999999998</c:v>
                </c:pt>
                <c:pt idx="564">
                  <c:v>1.319326</c:v>
                </c:pt>
                <c:pt idx="565">
                  <c:v>2.4695079999999998</c:v>
                </c:pt>
                <c:pt idx="566">
                  <c:v>1.8632919999999999</c:v>
                </c:pt>
                <c:pt idx="567">
                  <c:v>1.8174440000000001</c:v>
                </c:pt>
                <c:pt idx="568">
                  <c:v>1.7405040000000001</c:v>
                </c:pt>
                <c:pt idx="569">
                  <c:v>1.578306</c:v>
                </c:pt>
                <c:pt idx="570">
                  <c:v>1.8464020000000001</c:v>
                </c:pt>
                <c:pt idx="571">
                  <c:v>1.0061180000000001</c:v>
                </c:pt>
                <c:pt idx="572">
                  <c:v>3.2056879999999999</c:v>
                </c:pt>
                <c:pt idx="573">
                  <c:v>1.6929179999999999</c:v>
                </c:pt>
                <c:pt idx="574">
                  <c:v>1.0640039999999999</c:v>
                </c:pt>
                <c:pt idx="575">
                  <c:v>3.051812</c:v>
                </c:pt>
                <c:pt idx="576">
                  <c:v>2.6146539999999998</c:v>
                </c:pt>
                <c:pt idx="577">
                  <c:v>1.2095480000000001</c:v>
                </c:pt>
                <c:pt idx="578">
                  <c:v>1.784508</c:v>
                </c:pt>
                <c:pt idx="579">
                  <c:v>1.62839</c:v>
                </c:pt>
                <c:pt idx="580">
                  <c:v>1.6309020000000001</c:v>
                </c:pt>
                <c:pt idx="581">
                  <c:v>1.4250499999999999</c:v>
                </c:pt>
                <c:pt idx="582">
                  <c:v>1.3460319999999999</c:v>
                </c:pt>
                <c:pt idx="583">
                  <c:v>1.483614</c:v>
                </c:pt>
                <c:pt idx="584">
                  <c:v>1.5282800000000001</c:v>
                </c:pt>
                <c:pt idx="585">
                  <c:v>1.1534</c:v>
                </c:pt>
                <c:pt idx="586">
                  <c:v>1.2128319999999999</c:v>
                </c:pt>
                <c:pt idx="587">
                  <c:v>2.4404560000000002</c:v>
                </c:pt>
                <c:pt idx="588">
                  <c:v>2.0594980000000001</c:v>
                </c:pt>
                <c:pt idx="589">
                  <c:v>2.0221339999999999</c:v>
                </c:pt>
                <c:pt idx="590">
                  <c:v>8.3648199999999999</c:v>
                </c:pt>
                <c:pt idx="591">
                  <c:v>3.246658</c:v>
                </c:pt>
                <c:pt idx="592">
                  <c:v>4.0157439999999998</c:v>
                </c:pt>
                <c:pt idx="593">
                  <c:v>3.094646</c:v>
                </c:pt>
                <c:pt idx="594">
                  <c:v>1.7747120000000001</c:v>
                </c:pt>
                <c:pt idx="595">
                  <c:v>1.66185</c:v>
                </c:pt>
                <c:pt idx="596">
                  <c:v>1.18442</c:v>
                </c:pt>
                <c:pt idx="597">
                  <c:v>1.2021280000000001</c:v>
                </c:pt>
                <c:pt idx="598">
                  <c:v>2.1810040000000002</c:v>
                </c:pt>
                <c:pt idx="599">
                  <c:v>0.92328200000000005</c:v>
                </c:pt>
                <c:pt idx="600">
                  <c:v>0.95911400000000002</c:v>
                </c:pt>
                <c:pt idx="601">
                  <c:v>1.8079620000000001</c:v>
                </c:pt>
                <c:pt idx="602">
                  <c:v>1.0832900000000001</c:v>
                </c:pt>
                <c:pt idx="603">
                  <c:v>0.925454</c:v>
                </c:pt>
                <c:pt idx="604">
                  <c:v>0.97613799999999995</c:v>
                </c:pt>
                <c:pt idx="605">
                  <c:v>1.1727080000000001</c:v>
                </c:pt>
                <c:pt idx="606">
                  <c:v>1.0766960000000001</c:v>
                </c:pt>
                <c:pt idx="607">
                  <c:v>1.4862340000000001</c:v>
                </c:pt>
                <c:pt idx="608">
                  <c:v>0.90878400000000004</c:v>
                </c:pt>
                <c:pt idx="609">
                  <c:v>1.1794800000000001</c:v>
                </c:pt>
                <c:pt idx="610">
                  <c:v>1.6165719999999999</c:v>
                </c:pt>
                <c:pt idx="611">
                  <c:v>2.9167260000000002</c:v>
                </c:pt>
                <c:pt idx="612">
                  <c:v>1.525542</c:v>
                </c:pt>
                <c:pt idx="613">
                  <c:v>1.0262880000000001</c:v>
                </c:pt>
                <c:pt idx="614">
                  <c:v>1.281674</c:v>
                </c:pt>
                <c:pt idx="615">
                  <c:v>0.94757000000000002</c:v>
                </c:pt>
                <c:pt idx="616">
                  <c:v>1.488772</c:v>
                </c:pt>
                <c:pt idx="617">
                  <c:v>1.848406</c:v>
                </c:pt>
                <c:pt idx="618">
                  <c:v>2.4321299999999999</c:v>
                </c:pt>
                <c:pt idx="619">
                  <c:v>1.5512900000000001</c:v>
                </c:pt>
                <c:pt idx="620">
                  <c:v>1.6993780000000001</c:v>
                </c:pt>
                <c:pt idx="621">
                  <c:v>3.8856039999999998</c:v>
                </c:pt>
                <c:pt idx="622">
                  <c:v>3.273714</c:v>
                </c:pt>
                <c:pt idx="623">
                  <c:v>1.55332</c:v>
                </c:pt>
                <c:pt idx="624">
                  <c:v>4.6182699999999999</c:v>
                </c:pt>
                <c:pt idx="625">
                  <c:v>2.4291040000000002</c:v>
                </c:pt>
                <c:pt idx="626">
                  <c:v>2.5840100000000001</c:v>
                </c:pt>
                <c:pt idx="627">
                  <c:v>2.7583679999999999</c:v>
                </c:pt>
                <c:pt idx="628">
                  <c:v>2.97939</c:v>
                </c:pt>
                <c:pt idx="629">
                  <c:v>2.7325819999999998</c:v>
                </c:pt>
                <c:pt idx="630">
                  <c:v>2.2045119999999998</c:v>
                </c:pt>
                <c:pt idx="631">
                  <c:v>3.9854120000000002</c:v>
                </c:pt>
                <c:pt idx="632">
                  <c:v>2.6000899999999998</c:v>
                </c:pt>
                <c:pt idx="633">
                  <c:v>1.8496680000000001</c:v>
                </c:pt>
                <c:pt idx="634">
                  <c:v>2.180634</c:v>
                </c:pt>
                <c:pt idx="635">
                  <c:v>1.9148160000000001</c:v>
                </c:pt>
                <c:pt idx="636">
                  <c:v>2.8114300000000001</c:v>
                </c:pt>
                <c:pt idx="637">
                  <c:v>3.9385859999999999</c:v>
                </c:pt>
                <c:pt idx="638">
                  <c:v>4.8292739999999998</c:v>
                </c:pt>
                <c:pt idx="639">
                  <c:v>2.93432</c:v>
                </c:pt>
                <c:pt idx="640">
                  <c:v>3.4474119999999999</c:v>
                </c:pt>
                <c:pt idx="641">
                  <c:v>6.8907280000000002</c:v>
                </c:pt>
                <c:pt idx="642">
                  <c:v>3.872754</c:v>
                </c:pt>
                <c:pt idx="643">
                  <c:v>2.9985080000000002</c:v>
                </c:pt>
                <c:pt idx="644">
                  <c:v>2.8900079999999999</c:v>
                </c:pt>
                <c:pt idx="645">
                  <c:v>1.9714320000000001</c:v>
                </c:pt>
                <c:pt idx="646">
                  <c:v>2.8939539999999999</c:v>
                </c:pt>
                <c:pt idx="647">
                  <c:v>2.3570519999999999</c:v>
                </c:pt>
                <c:pt idx="648">
                  <c:v>2.4250479999999999</c:v>
                </c:pt>
                <c:pt idx="649">
                  <c:v>1.6820900000000001</c:v>
                </c:pt>
                <c:pt idx="650">
                  <c:v>2.1182639999999999</c:v>
                </c:pt>
                <c:pt idx="651">
                  <c:v>2.2553200000000002</c:v>
                </c:pt>
                <c:pt idx="652">
                  <c:v>3.05491</c:v>
                </c:pt>
                <c:pt idx="653">
                  <c:v>3.22655</c:v>
                </c:pt>
                <c:pt idx="654">
                  <c:v>2.1820119999999998</c:v>
                </c:pt>
                <c:pt idx="655">
                  <c:v>2.3310900000000001</c:v>
                </c:pt>
                <c:pt idx="656">
                  <c:v>3.2170399999999999</c:v>
                </c:pt>
                <c:pt idx="657">
                  <c:v>2.8604159999999998</c:v>
                </c:pt>
                <c:pt idx="658">
                  <c:v>2.2410960000000002</c:v>
                </c:pt>
                <c:pt idx="659">
                  <c:v>2.2926859999999998</c:v>
                </c:pt>
                <c:pt idx="660">
                  <c:v>6.4754659999999999</c:v>
                </c:pt>
                <c:pt idx="661">
                  <c:v>4.2752840000000001</c:v>
                </c:pt>
                <c:pt idx="662">
                  <c:v>4.2347640000000002</c:v>
                </c:pt>
                <c:pt idx="663">
                  <c:v>2.4602040000000001</c:v>
                </c:pt>
                <c:pt idx="664">
                  <c:v>2.5269379999999999</c:v>
                </c:pt>
                <c:pt idx="665">
                  <c:v>1.660728</c:v>
                </c:pt>
                <c:pt idx="666">
                  <c:v>2.8390819999999999</c:v>
                </c:pt>
                <c:pt idx="667">
                  <c:v>4.7512660000000002</c:v>
                </c:pt>
                <c:pt idx="668">
                  <c:v>2.5245259999999998</c:v>
                </c:pt>
                <c:pt idx="669">
                  <c:v>1.75803</c:v>
                </c:pt>
                <c:pt idx="670">
                  <c:v>2.8026239999999998</c:v>
                </c:pt>
                <c:pt idx="671">
                  <c:v>2.7862</c:v>
                </c:pt>
                <c:pt idx="672">
                  <c:v>1.6564179999999999</c:v>
                </c:pt>
                <c:pt idx="673">
                  <c:v>1.55888</c:v>
                </c:pt>
                <c:pt idx="674">
                  <c:v>1.8014399999999999</c:v>
                </c:pt>
                <c:pt idx="675">
                  <c:v>1.9108780000000001</c:v>
                </c:pt>
                <c:pt idx="676">
                  <c:v>3.4042840000000001</c:v>
                </c:pt>
                <c:pt idx="677">
                  <c:v>1.9261699999999999</c:v>
                </c:pt>
                <c:pt idx="678">
                  <c:v>1.0794840000000001</c:v>
                </c:pt>
                <c:pt idx="679">
                  <c:v>2.4428899999999998</c:v>
                </c:pt>
                <c:pt idx="680">
                  <c:v>1.9719640000000001</c:v>
                </c:pt>
                <c:pt idx="681">
                  <c:v>1.8327560000000001</c:v>
                </c:pt>
                <c:pt idx="682">
                  <c:v>3.1410719999999999</c:v>
                </c:pt>
                <c:pt idx="683">
                  <c:v>4.1213199999999999</c:v>
                </c:pt>
                <c:pt idx="684">
                  <c:v>4.2493759999999998</c:v>
                </c:pt>
                <c:pt idx="685">
                  <c:v>3.398326</c:v>
                </c:pt>
                <c:pt idx="686">
                  <c:v>9.1915180000000003</c:v>
                </c:pt>
                <c:pt idx="687">
                  <c:v>6.2333100000000004</c:v>
                </c:pt>
                <c:pt idx="688">
                  <c:v>2.5584199999999999</c:v>
                </c:pt>
                <c:pt idx="689">
                  <c:v>2.9549280000000002</c:v>
                </c:pt>
                <c:pt idx="690">
                  <c:v>3.0244</c:v>
                </c:pt>
                <c:pt idx="691">
                  <c:v>2.445964</c:v>
                </c:pt>
                <c:pt idx="692">
                  <c:v>2.4996160000000001</c:v>
                </c:pt>
                <c:pt idx="693">
                  <c:v>4.869936</c:v>
                </c:pt>
                <c:pt idx="694">
                  <c:v>4.2898440000000004</c:v>
                </c:pt>
                <c:pt idx="695">
                  <c:v>4.2428059999999999</c:v>
                </c:pt>
                <c:pt idx="696">
                  <c:v>7.7722959999999999</c:v>
                </c:pt>
                <c:pt idx="697">
                  <c:v>3.6581480000000002</c:v>
                </c:pt>
                <c:pt idx="698">
                  <c:v>2.3834840000000002</c:v>
                </c:pt>
                <c:pt idx="699">
                  <c:v>4.1298839999999997</c:v>
                </c:pt>
                <c:pt idx="700">
                  <c:v>4.7972320000000002</c:v>
                </c:pt>
                <c:pt idx="701">
                  <c:v>4.1726359999999998</c:v>
                </c:pt>
                <c:pt idx="702">
                  <c:v>6.9771460000000003</c:v>
                </c:pt>
                <c:pt idx="703">
                  <c:v>3.7965800000000001</c:v>
                </c:pt>
                <c:pt idx="704">
                  <c:v>2.9851179999999999</c:v>
                </c:pt>
                <c:pt idx="705">
                  <c:v>6.2561299999999997</c:v>
                </c:pt>
                <c:pt idx="706">
                  <c:v>4.8282959999999999</c:v>
                </c:pt>
                <c:pt idx="707">
                  <c:v>4.2639379999999996</c:v>
                </c:pt>
                <c:pt idx="708">
                  <c:v>2.915044</c:v>
                </c:pt>
                <c:pt idx="709">
                  <c:v>4.3943139999999996</c:v>
                </c:pt>
                <c:pt idx="710">
                  <c:v>2.7711239999999999</c:v>
                </c:pt>
                <c:pt idx="711">
                  <c:v>7.3558760000000003</c:v>
                </c:pt>
                <c:pt idx="712">
                  <c:v>3.6183380000000001</c:v>
                </c:pt>
                <c:pt idx="713">
                  <c:v>4.0406180000000003</c:v>
                </c:pt>
                <c:pt idx="714">
                  <c:v>3.5904020000000001</c:v>
                </c:pt>
                <c:pt idx="715">
                  <c:v>2.9179580000000001</c:v>
                </c:pt>
                <c:pt idx="716">
                  <c:v>1.9867360000000001</c:v>
                </c:pt>
                <c:pt idx="717">
                  <c:v>1.9935400000000001</c:v>
                </c:pt>
                <c:pt idx="718">
                  <c:v>3.3273760000000001</c:v>
                </c:pt>
                <c:pt idx="719">
                  <c:v>3.2444120000000001</c:v>
                </c:pt>
                <c:pt idx="720">
                  <c:v>2.2248039999999998</c:v>
                </c:pt>
                <c:pt idx="721">
                  <c:v>5.4793099999999999</c:v>
                </c:pt>
                <c:pt idx="722">
                  <c:v>2.576028</c:v>
                </c:pt>
                <c:pt idx="723">
                  <c:v>4.3622180000000004</c:v>
                </c:pt>
                <c:pt idx="724">
                  <c:v>2.4699260000000001</c:v>
                </c:pt>
                <c:pt idx="725">
                  <c:v>3.344706</c:v>
                </c:pt>
                <c:pt idx="726">
                  <c:v>2.7347739999999998</c:v>
                </c:pt>
                <c:pt idx="727">
                  <c:v>2.7575560000000001</c:v>
                </c:pt>
                <c:pt idx="728">
                  <c:v>2.9318520000000001</c:v>
                </c:pt>
                <c:pt idx="729">
                  <c:v>3.4411559999999999</c:v>
                </c:pt>
                <c:pt idx="730">
                  <c:v>1.9245099999999999</c:v>
                </c:pt>
                <c:pt idx="731">
                  <c:v>3.2070080000000001</c:v>
                </c:pt>
                <c:pt idx="732">
                  <c:v>2.3168760000000002</c:v>
                </c:pt>
                <c:pt idx="733">
                  <c:v>3.9780660000000001</c:v>
                </c:pt>
                <c:pt idx="734">
                  <c:v>4.5642500000000004</c:v>
                </c:pt>
                <c:pt idx="735">
                  <c:v>2.2199979999999999</c:v>
                </c:pt>
                <c:pt idx="736">
                  <c:v>3.0027900000000001</c:v>
                </c:pt>
                <c:pt idx="737">
                  <c:v>2.396134</c:v>
                </c:pt>
                <c:pt idx="738">
                  <c:v>1.8427</c:v>
                </c:pt>
                <c:pt idx="739">
                  <c:v>8.5864139999999995</c:v>
                </c:pt>
                <c:pt idx="740">
                  <c:v>12.384724</c:v>
                </c:pt>
                <c:pt idx="741">
                  <c:v>5.2497220000000002</c:v>
                </c:pt>
                <c:pt idx="742">
                  <c:v>5.9919539999999998</c:v>
                </c:pt>
                <c:pt idx="743">
                  <c:v>3.9059379999999999</c:v>
                </c:pt>
                <c:pt idx="744">
                  <c:v>6.1710219999999998</c:v>
                </c:pt>
                <c:pt idx="745">
                  <c:v>3.6261999999999999</c:v>
                </c:pt>
                <c:pt idx="746">
                  <c:v>4.1698320000000004</c:v>
                </c:pt>
                <c:pt idx="747">
                  <c:v>5.1167400000000001</c:v>
                </c:pt>
                <c:pt idx="748">
                  <c:v>2.6917499999999999</c:v>
                </c:pt>
                <c:pt idx="749">
                  <c:v>6.0491619999999999</c:v>
                </c:pt>
                <c:pt idx="750">
                  <c:v>4.2169860000000003</c:v>
                </c:pt>
                <c:pt idx="751">
                  <c:v>5.5637179999999997</c:v>
                </c:pt>
                <c:pt idx="752">
                  <c:v>3.1554340000000001</c:v>
                </c:pt>
                <c:pt idx="753">
                  <c:v>6.0109240000000002</c:v>
                </c:pt>
                <c:pt idx="754">
                  <c:v>3.7592919999999999</c:v>
                </c:pt>
                <c:pt idx="755">
                  <c:v>8.0957240000000006</c:v>
                </c:pt>
                <c:pt idx="756">
                  <c:v>7.732024</c:v>
                </c:pt>
                <c:pt idx="757">
                  <c:v>3.7702740000000001</c:v>
                </c:pt>
                <c:pt idx="758">
                  <c:v>5.7313559999999999</c:v>
                </c:pt>
                <c:pt idx="759">
                  <c:v>5.2709320000000002</c:v>
                </c:pt>
                <c:pt idx="760">
                  <c:v>5.0566519999999997</c:v>
                </c:pt>
                <c:pt idx="761">
                  <c:v>6.0700399999999997</c:v>
                </c:pt>
                <c:pt idx="762">
                  <c:v>4.5134299999999996</c:v>
                </c:pt>
                <c:pt idx="763">
                  <c:v>3.8170359999999999</c:v>
                </c:pt>
                <c:pt idx="764">
                  <c:v>5.7015900000000004</c:v>
                </c:pt>
                <c:pt idx="765">
                  <c:v>4.7430199999999996</c:v>
                </c:pt>
                <c:pt idx="766">
                  <c:v>15.9953</c:v>
                </c:pt>
                <c:pt idx="767">
                  <c:v>4.96305</c:v>
                </c:pt>
                <c:pt idx="768">
                  <c:v>3.387912</c:v>
                </c:pt>
                <c:pt idx="769">
                  <c:v>3.2840259999999999</c:v>
                </c:pt>
                <c:pt idx="770">
                  <c:v>3.43866</c:v>
                </c:pt>
                <c:pt idx="771">
                  <c:v>3.180212</c:v>
                </c:pt>
                <c:pt idx="772">
                  <c:v>3.0844179999999999</c:v>
                </c:pt>
                <c:pt idx="773">
                  <c:v>2.9650300000000001</c:v>
                </c:pt>
                <c:pt idx="774">
                  <c:v>5.6232620000000004</c:v>
                </c:pt>
                <c:pt idx="775">
                  <c:v>4.2009179999999997</c:v>
                </c:pt>
                <c:pt idx="776">
                  <c:v>5.5111160000000003</c:v>
                </c:pt>
                <c:pt idx="777">
                  <c:v>3.7428940000000002</c:v>
                </c:pt>
                <c:pt idx="778">
                  <c:v>3.0385599999999999</c:v>
                </c:pt>
                <c:pt idx="779">
                  <c:v>3.0357759999999998</c:v>
                </c:pt>
                <c:pt idx="780">
                  <c:v>3.8116599999999998</c:v>
                </c:pt>
                <c:pt idx="781">
                  <c:v>8.4833079999999992</c:v>
                </c:pt>
                <c:pt idx="782">
                  <c:v>4.8105140000000004</c:v>
                </c:pt>
                <c:pt idx="783">
                  <c:v>2.6497899999999999</c:v>
                </c:pt>
                <c:pt idx="784">
                  <c:v>8.1352759999999993</c:v>
                </c:pt>
                <c:pt idx="785">
                  <c:v>2.8729279999999999</c:v>
                </c:pt>
                <c:pt idx="786">
                  <c:v>4.1566979999999996</c:v>
                </c:pt>
                <c:pt idx="787">
                  <c:v>3.3483879999999999</c:v>
                </c:pt>
                <c:pt idx="788">
                  <c:v>2.9328720000000001</c:v>
                </c:pt>
                <c:pt idx="789">
                  <c:v>3.0065179999999998</c:v>
                </c:pt>
                <c:pt idx="790">
                  <c:v>1.8318099999999999</c:v>
                </c:pt>
                <c:pt idx="791">
                  <c:v>2.2892039999999998</c:v>
                </c:pt>
                <c:pt idx="792">
                  <c:v>4.2515299999999998</c:v>
                </c:pt>
                <c:pt idx="793">
                  <c:v>1.4565060000000001</c:v>
                </c:pt>
                <c:pt idx="794">
                  <c:v>3.2677520000000002</c:v>
                </c:pt>
                <c:pt idx="795">
                  <c:v>8.0812220000000003</c:v>
                </c:pt>
                <c:pt idx="796">
                  <c:v>3.1431420000000001</c:v>
                </c:pt>
                <c:pt idx="797">
                  <c:v>4.3410919999999997</c:v>
                </c:pt>
                <c:pt idx="798">
                  <c:v>4.3586179999999999</c:v>
                </c:pt>
                <c:pt idx="799">
                  <c:v>4.3129200000000001</c:v>
                </c:pt>
                <c:pt idx="800">
                  <c:v>3.1206019999999999</c:v>
                </c:pt>
                <c:pt idx="801">
                  <c:v>4.731954</c:v>
                </c:pt>
                <c:pt idx="802">
                  <c:v>3.1632899999999999</c:v>
                </c:pt>
                <c:pt idx="803">
                  <c:v>3.968658</c:v>
                </c:pt>
                <c:pt idx="804">
                  <c:v>2.549674</c:v>
                </c:pt>
                <c:pt idx="805">
                  <c:v>3.6852480000000001</c:v>
                </c:pt>
                <c:pt idx="806">
                  <c:v>7.0245819999999997</c:v>
                </c:pt>
                <c:pt idx="807">
                  <c:v>4.0734560000000002</c:v>
                </c:pt>
                <c:pt idx="808">
                  <c:v>6.9434279999999999</c:v>
                </c:pt>
                <c:pt idx="809">
                  <c:v>14.099568</c:v>
                </c:pt>
                <c:pt idx="810">
                  <c:v>5.6467039999999997</c:v>
                </c:pt>
                <c:pt idx="811">
                  <c:v>2.063698</c:v>
                </c:pt>
                <c:pt idx="812">
                  <c:v>3.3466339999999999</c:v>
                </c:pt>
                <c:pt idx="813">
                  <c:v>2.4071180000000001</c:v>
                </c:pt>
                <c:pt idx="814">
                  <c:v>2.595488</c:v>
                </c:pt>
                <c:pt idx="815">
                  <c:v>4.9761540000000002</c:v>
                </c:pt>
                <c:pt idx="816">
                  <c:v>3.8542860000000001</c:v>
                </c:pt>
                <c:pt idx="817">
                  <c:v>3.5888719999999998</c:v>
                </c:pt>
                <c:pt idx="818">
                  <c:v>1.621866</c:v>
                </c:pt>
                <c:pt idx="819">
                  <c:v>1.1413740000000001</c:v>
                </c:pt>
                <c:pt idx="820">
                  <c:v>2.448318</c:v>
                </c:pt>
                <c:pt idx="821">
                  <c:v>2.7821379999999998</c:v>
                </c:pt>
                <c:pt idx="822">
                  <c:v>2.418806</c:v>
                </c:pt>
                <c:pt idx="823">
                  <c:v>2.8137479999999999</c:v>
                </c:pt>
                <c:pt idx="824">
                  <c:v>3.0278040000000002</c:v>
                </c:pt>
                <c:pt idx="825">
                  <c:v>2.289806</c:v>
                </c:pt>
                <c:pt idx="826">
                  <c:v>2.942358</c:v>
                </c:pt>
                <c:pt idx="827">
                  <c:v>2.799166</c:v>
                </c:pt>
                <c:pt idx="828">
                  <c:v>3.406828</c:v>
                </c:pt>
                <c:pt idx="829">
                  <c:v>1.2481</c:v>
                </c:pt>
                <c:pt idx="830">
                  <c:v>2.4825819999999998</c:v>
                </c:pt>
                <c:pt idx="831">
                  <c:v>3.696482</c:v>
                </c:pt>
                <c:pt idx="832">
                  <c:v>2.153308</c:v>
                </c:pt>
                <c:pt idx="833">
                  <c:v>2.2969840000000001</c:v>
                </c:pt>
                <c:pt idx="834">
                  <c:v>1.9727460000000001</c:v>
                </c:pt>
                <c:pt idx="835">
                  <c:v>3.4298479999999998</c:v>
                </c:pt>
                <c:pt idx="836">
                  <c:v>3.6056599999999999</c:v>
                </c:pt>
                <c:pt idx="837">
                  <c:v>3.3572280000000001</c:v>
                </c:pt>
                <c:pt idx="838">
                  <c:v>1.5483340000000001</c:v>
                </c:pt>
                <c:pt idx="839">
                  <c:v>2.5774940000000002</c:v>
                </c:pt>
                <c:pt idx="840">
                  <c:v>5.2565299999999997</c:v>
                </c:pt>
                <c:pt idx="841">
                  <c:v>6.6752019999999996</c:v>
                </c:pt>
                <c:pt idx="842">
                  <c:v>3.3415759999999999</c:v>
                </c:pt>
                <c:pt idx="843">
                  <c:v>2.4618039999999999</c:v>
                </c:pt>
                <c:pt idx="844">
                  <c:v>1.613836</c:v>
                </c:pt>
                <c:pt idx="845">
                  <c:v>1.99898</c:v>
                </c:pt>
                <c:pt idx="846">
                  <c:v>2.2981340000000001</c:v>
                </c:pt>
                <c:pt idx="847">
                  <c:v>2.8200080000000001</c:v>
                </c:pt>
                <c:pt idx="848">
                  <c:v>2.0209459999999999</c:v>
                </c:pt>
                <c:pt idx="849">
                  <c:v>1.79837</c:v>
                </c:pt>
                <c:pt idx="850">
                  <c:v>2.21374</c:v>
                </c:pt>
                <c:pt idx="851">
                  <c:v>2.6116540000000001</c:v>
                </c:pt>
                <c:pt idx="852">
                  <c:v>2.8845100000000001</c:v>
                </c:pt>
                <c:pt idx="853">
                  <c:v>3.554376</c:v>
                </c:pt>
                <c:pt idx="854">
                  <c:v>3.7173620000000001</c:v>
                </c:pt>
                <c:pt idx="855">
                  <c:v>5.2621399999999996</c:v>
                </c:pt>
                <c:pt idx="856">
                  <c:v>5.2602359999999999</c:v>
                </c:pt>
                <c:pt idx="857">
                  <c:v>2.0820639999999999</c:v>
                </c:pt>
                <c:pt idx="858">
                  <c:v>2.9368500000000002</c:v>
                </c:pt>
                <c:pt idx="859">
                  <c:v>1.9787380000000001</c:v>
                </c:pt>
                <c:pt idx="860">
                  <c:v>1.869602</c:v>
                </c:pt>
                <c:pt idx="861">
                  <c:v>2.6131099999999998</c:v>
                </c:pt>
                <c:pt idx="862">
                  <c:v>2.3405100000000001</c:v>
                </c:pt>
                <c:pt idx="863">
                  <c:v>5.116168</c:v>
                </c:pt>
                <c:pt idx="864">
                  <c:v>3.3381099999999999</c:v>
                </c:pt>
                <c:pt idx="865">
                  <c:v>1.1151420000000001</c:v>
                </c:pt>
                <c:pt idx="866">
                  <c:v>3.2301579999999999</c:v>
                </c:pt>
                <c:pt idx="867">
                  <c:v>4.6921200000000001</c:v>
                </c:pt>
                <c:pt idx="868">
                  <c:v>4.217498</c:v>
                </c:pt>
                <c:pt idx="869">
                  <c:v>2.6385399999999999</c:v>
                </c:pt>
                <c:pt idx="870">
                  <c:v>2.7903660000000001</c:v>
                </c:pt>
                <c:pt idx="871">
                  <c:v>1.96526</c:v>
                </c:pt>
                <c:pt idx="872">
                  <c:v>4.464626</c:v>
                </c:pt>
                <c:pt idx="873">
                  <c:v>2.3969640000000001</c:v>
                </c:pt>
                <c:pt idx="874">
                  <c:v>4.3294319999999997</c:v>
                </c:pt>
                <c:pt idx="875">
                  <c:v>2.0537359999999998</c:v>
                </c:pt>
                <c:pt idx="876">
                  <c:v>3.0371839999999999</c:v>
                </c:pt>
                <c:pt idx="877">
                  <c:v>3.7701220000000002</c:v>
                </c:pt>
                <c:pt idx="878">
                  <c:v>2.2558539999999998</c:v>
                </c:pt>
                <c:pt idx="879">
                  <c:v>3.6059260000000002</c:v>
                </c:pt>
                <c:pt idx="880">
                  <c:v>3.5495220000000001</c:v>
                </c:pt>
                <c:pt idx="881">
                  <c:v>5.4831260000000004</c:v>
                </c:pt>
                <c:pt idx="882">
                  <c:v>4.9022839999999999</c:v>
                </c:pt>
                <c:pt idx="883">
                  <c:v>5.7048940000000004</c:v>
                </c:pt>
                <c:pt idx="884">
                  <c:v>6.9483079999999999</c:v>
                </c:pt>
                <c:pt idx="885">
                  <c:v>5.357056</c:v>
                </c:pt>
                <c:pt idx="886">
                  <c:v>4.4572279999999997</c:v>
                </c:pt>
                <c:pt idx="887">
                  <c:v>4.490462</c:v>
                </c:pt>
                <c:pt idx="888">
                  <c:v>2.5710199999999999</c:v>
                </c:pt>
                <c:pt idx="889">
                  <c:v>2.490472</c:v>
                </c:pt>
                <c:pt idx="890">
                  <c:v>2.5380379999999998</c:v>
                </c:pt>
                <c:pt idx="891">
                  <c:v>4.1359620000000001</c:v>
                </c:pt>
                <c:pt idx="892">
                  <c:v>3.06054</c:v>
                </c:pt>
                <c:pt idx="893">
                  <c:v>3.20424</c:v>
                </c:pt>
                <c:pt idx="894">
                  <c:v>2.74884</c:v>
                </c:pt>
                <c:pt idx="895">
                  <c:v>2.6460720000000002</c:v>
                </c:pt>
                <c:pt idx="896">
                  <c:v>1.888898</c:v>
                </c:pt>
                <c:pt idx="897">
                  <c:v>2.088616</c:v>
                </c:pt>
                <c:pt idx="898">
                  <c:v>2.9309099999999999</c:v>
                </c:pt>
                <c:pt idx="899">
                  <c:v>3.4922840000000002</c:v>
                </c:pt>
                <c:pt idx="900">
                  <c:v>1.5781019999999999</c:v>
                </c:pt>
                <c:pt idx="901">
                  <c:v>2.4998680000000002</c:v>
                </c:pt>
                <c:pt idx="902">
                  <c:v>3.7663579999999999</c:v>
                </c:pt>
                <c:pt idx="903">
                  <c:v>3.658436</c:v>
                </c:pt>
                <c:pt idx="904">
                  <c:v>2.0230419999999998</c:v>
                </c:pt>
                <c:pt idx="905">
                  <c:v>2.109048</c:v>
                </c:pt>
                <c:pt idx="906">
                  <c:v>2.06792</c:v>
                </c:pt>
                <c:pt idx="907">
                  <c:v>1.59552</c:v>
                </c:pt>
                <c:pt idx="908">
                  <c:v>3.1623800000000002</c:v>
                </c:pt>
                <c:pt idx="909">
                  <c:v>2.57517</c:v>
                </c:pt>
                <c:pt idx="910">
                  <c:v>3.098446</c:v>
                </c:pt>
                <c:pt idx="911">
                  <c:v>4.0755460000000001</c:v>
                </c:pt>
                <c:pt idx="912">
                  <c:v>10.868328</c:v>
                </c:pt>
                <c:pt idx="913">
                  <c:v>4.9235980000000001</c:v>
                </c:pt>
                <c:pt idx="914">
                  <c:v>5.3009919999999999</c:v>
                </c:pt>
                <c:pt idx="915">
                  <c:v>3.628844</c:v>
                </c:pt>
                <c:pt idx="916">
                  <c:v>3.4438620000000002</c:v>
                </c:pt>
                <c:pt idx="917">
                  <c:v>1.7114180000000001</c:v>
                </c:pt>
                <c:pt idx="918">
                  <c:v>3.3616640000000002</c:v>
                </c:pt>
                <c:pt idx="919">
                  <c:v>4.0451240000000004</c:v>
                </c:pt>
                <c:pt idx="920">
                  <c:v>3.3682120000000002</c:v>
                </c:pt>
                <c:pt idx="921">
                  <c:v>3.341418</c:v>
                </c:pt>
                <c:pt idx="922">
                  <c:v>3.8067500000000001</c:v>
                </c:pt>
                <c:pt idx="923">
                  <c:v>3.0634540000000001</c:v>
                </c:pt>
                <c:pt idx="924">
                  <c:v>1.981698</c:v>
                </c:pt>
                <c:pt idx="925">
                  <c:v>2.9307780000000001</c:v>
                </c:pt>
                <c:pt idx="926">
                  <c:v>4.3951039999999999</c:v>
                </c:pt>
                <c:pt idx="927">
                  <c:v>2.0100440000000002</c:v>
                </c:pt>
                <c:pt idx="928">
                  <c:v>6.9676819999999999</c:v>
                </c:pt>
                <c:pt idx="929">
                  <c:v>5.3436380000000003</c:v>
                </c:pt>
                <c:pt idx="930">
                  <c:v>3.1965439999999998</c:v>
                </c:pt>
                <c:pt idx="931">
                  <c:v>2.4550580000000002</c:v>
                </c:pt>
                <c:pt idx="932">
                  <c:v>2.9378199999999999</c:v>
                </c:pt>
                <c:pt idx="933">
                  <c:v>3.6342439999999998</c:v>
                </c:pt>
                <c:pt idx="934">
                  <c:v>2.9738760000000002</c:v>
                </c:pt>
                <c:pt idx="935">
                  <c:v>3.1802820000000001</c:v>
                </c:pt>
                <c:pt idx="936">
                  <c:v>3.7861359999999999</c:v>
                </c:pt>
                <c:pt idx="937">
                  <c:v>2.853602</c:v>
                </c:pt>
                <c:pt idx="938">
                  <c:v>3.8026179999999998</c:v>
                </c:pt>
                <c:pt idx="939">
                  <c:v>3.0159180000000001</c:v>
                </c:pt>
                <c:pt idx="940">
                  <c:v>1.847836</c:v>
                </c:pt>
                <c:pt idx="941">
                  <c:v>2.4385020000000002</c:v>
                </c:pt>
                <c:pt idx="942">
                  <c:v>1.7499579999999999</c:v>
                </c:pt>
                <c:pt idx="943">
                  <c:v>0.75117199999999995</c:v>
                </c:pt>
                <c:pt idx="944">
                  <c:v>1.8827560000000001</c:v>
                </c:pt>
                <c:pt idx="945">
                  <c:v>1.206426</c:v>
                </c:pt>
                <c:pt idx="946">
                  <c:v>0</c:v>
                </c:pt>
                <c:pt idx="947">
                  <c:v>2.9451299999999998</c:v>
                </c:pt>
                <c:pt idx="948">
                  <c:v>1.977768</c:v>
                </c:pt>
                <c:pt idx="949">
                  <c:v>2.1082399999999999</c:v>
                </c:pt>
                <c:pt idx="950">
                  <c:v>3.855864</c:v>
                </c:pt>
                <c:pt idx="951">
                  <c:v>2.208548</c:v>
                </c:pt>
                <c:pt idx="952">
                  <c:v>2.312144</c:v>
                </c:pt>
                <c:pt idx="953">
                  <c:v>2.8736519999999999</c:v>
                </c:pt>
                <c:pt idx="954">
                  <c:v>3.6356419999999998</c:v>
                </c:pt>
                <c:pt idx="955">
                  <c:v>3.264192</c:v>
                </c:pt>
                <c:pt idx="956">
                  <c:v>3.5779320000000001</c:v>
                </c:pt>
                <c:pt idx="957">
                  <c:v>2.224634</c:v>
                </c:pt>
                <c:pt idx="958">
                  <c:v>1.9788300000000001</c:v>
                </c:pt>
                <c:pt idx="959">
                  <c:v>4.8468080000000002</c:v>
                </c:pt>
                <c:pt idx="960">
                  <c:v>3.8725139999999998</c:v>
                </c:pt>
                <c:pt idx="961">
                  <c:v>4.01633</c:v>
                </c:pt>
                <c:pt idx="962">
                  <c:v>2.9860880000000001</c:v>
                </c:pt>
                <c:pt idx="963">
                  <c:v>2.4745439999999999</c:v>
                </c:pt>
                <c:pt idx="964">
                  <c:v>2.5642040000000001</c:v>
                </c:pt>
                <c:pt idx="965">
                  <c:v>5.1727720000000001</c:v>
                </c:pt>
                <c:pt idx="966">
                  <c:v>2.8826559999999999</c:v>
                </c:pt>
                <c:pt idx="967">
                  <c:v>3.0631680000000001</c:v>
                </c:pt>
                <c:pt idx="968">
                  <c:v>2.6653180000000001</c:v>
                </c:pt>
                <c:pt idx="969">
                  <c:v>4.3626259999999997</c:v>
                </c:pt>
                <c:pt idx="970">
                  <c:v>6.0648619999999998</c:v>
                </c:pt>
                <c:pt idx="971">
                  <c:v>4.9695840000000002</c:v>
                </c:pt>
                <c:pt idx="972">
                  <c:v>4.3240460000000001</c:v>
                </c:pt>
                <c:pt idx="973">
                  <c:v>5.7307579999999998</c:v>
                </c:pt>
                <c:pt idx="974">
                  <c:v>3.3470080000000002</c:v>
                </c:pt>
                <c:pt idx="975">
                  <c:v>3.7988879999999998</c:v>
                </c:pt>
                <c:pt idx="976">
                  <c:v>3.6374420000000001</c:v>
                </c:pt>
                <c:pt idx="977">
                  <c:v>2.4794079999999998</c:v>
                </c:pt>
                <c:pt idx="978">
                  <c:v>4.5014779999999996</c:v>
                </c:pt>
                <c:pt idx="979">
                  <c:v>2.9215360000000001</c:v>
                </c:pt>
                <c:pt idx="980">
                  <c:v>2.4601099999999998</c:v>
                </c:pt>
                <c:pt idx="981">
                  <c:v>2.9026559999999999</c:v>
                </c:pt>
                <c:pt idx="982">
                  <c:v>2.4311219999999998</c:v>
                </c:pt>
                <c:pt idx="983">
                  <c:v>2.3253339999999998</c:v>
                </c:pt>
                <c:pt idx="984">
                  <c:v>3.1588780000000001</c:v>
                </c:pt>
                <c:pt idx="985">
                  <c:v>2.094878</c:v>
                </c:pt>
                <c:pt idx="986">
                  <c:v>2.6916340000000001</c:v>
                </c:pt>
                <c:pt idx="987">
                  <c:v>2.8213520000000001</c:v>
                </c:pt>
                <c:pt idx="988">
                  <c:v>7.859286</c:v>
                </c:pt>
                <c:pt idx="989">
                  <c:v>5.7000679999999999</c:v>
                </c:pt>
                <c:pt idx="990">
                  <c:v>4.0185779999999998</c:v>
                </c:pt>
                <c:pt idx="991">
                  <c:v>3.002478</c:v>
                </c:pt>
                <c:pt idx="992">
                  <c:v>2.9432640000000001</c:v>
                </c:pt>
                <c:pt idx="993">
                  <c:v>2.1221580000000002</c:v>
                </c:pt>
                <c:pt idx="994">
                  <c:v>2.9598059999999999</c:v>
                </c:pt>
                <c:pt idx="995">
                  <c:v>4.5296120000000002</c:v>
                </c:pt>
                <c:pt idx="996">
                  <c:v>4.2015700000000002</c:v>
                </c:pt>
                <c:pt idx="997">
                  <c:v>7.3952840000000002</c:v>
                </c:pt>
                <c:pt idx="998">
                  <c:v>9.4786439999999992</c:v>
                </c:pt>
                <c:pt idx="999">
                  <c:v>5.3770420000000003</c:v>
                </c:pt>
                <c:pt idx="1000">
                  <c:v>5.0956619999999999</c:v>
                </c:pt>
                <c:pt idx="1001">
                  <c:v>3.5101719999999998</c:v>
                </c:pt>
                <c:pt idx="1002">
                  <c:v>3.0406559999999998</c:v>
                </c:pt>
                <c:pt idx="1003">
                  <c:v>2.6229119999999999</c:v>
                </c:pt>
                <c:pt idx="1004">
                  <c:v>3.650706</c:v>
                </c:pt>
                <c:pt idx="1005">
                  <c:v>2.4040819999999998</c:v>
                </c:pt>
                <c:pt idx="1006">
                  <c:v>3.2843200000000001</c:v>
                </c:pt>
                <c:pt idx="1007">
                  <c:v>3.4093420000000001</c:v>
                </c:pt>
                <c:pt idx="1008">
                  <c:v>3.38287</c:v>
                </c:pt>
                <c:pt idx="1009">
                  <c:v>4.5490060000000003</c:v>
                </c:pt>
                <c:pt idx="1010">
                  <c:v>2.8671820000000001</c:v>
                </c:pt>
                <c:pt idx="1011">
                  <c:v>4.0125760000000001</c:v>
                </c:pt>
                <c:pt idx="1012">
                  <c:v>2.9000020000000002</c:v>
                </c:pt>
                <c:pt idx="1013">
                  <c:v>3.5801059999999998</c:v>
                </c:pt>
                <c:pt idx="1014">
                  <c:v>2.4132720000000001</c:v>
                </c:pt>
                <c:pt idx="1015">
                  <c:v>2.5808499999999999</c:v>
                </c:pt>
                <c:pt idx="1016">
                  <c:v>3.8616060000000001</c:v>
                </c:pt>
                <c:pt idx="1017">
                  <c:v>3.6972</c:v>
                </c:pt>
                <c:pt idx="1018">
                  <c:v>2.0135519999999998</c:v>
                </c:pt>
                <c:pt idx="1019">
                  <c:v>3.3202020000000001</c:v>
                </c:pt>
                <c:pt idx="1020">
                  <c:v>3.1102059999999998</c:v>
                </c:pt>
                <c:pt idx="1021">
                  <c:v>2.65646</c:v>
                </c:pt>
                <c:pt idx="1022">
                  <c:v>2.3102119999999999</c:v>
                </c:pt>
                <c:pt idx="1023">
                  <c:v>2.6587200000000002</c:v>
                </c:pt>
                <c:pt idx="1024">
                  <c:v>2.4641220000000001</c:v>
                </c:pt>
                <c:pt idx="1025">
                  <c:v>1.9614</c:v>
                </c:pt>
                <c:pt idx="1026">
                  <c:v>2.1590199999999999</c:v>
                </c:pt>
                <c:pt idx="1027">
                  <c:v>2.2684199999999999</c:v>
                </c:pt>
                <c:pt idx="1028">
                  <c:v>3.2102439999999999</c:v>
                </c:pt>
                <c:pt idx="1029">
                  <c:v>2.7791199999999998</c:v>
                </c:pt>
                <c:pt idx="1030">
                  <c:v>3.7382620000000002</c:v>
                </c:pt>
                <c:pt idx="1031">
                  <c:v>3.2564299999999999</c:v>
                </c:pt>
                <c:pt idx="1032">
                  <c:v>1.9329000000000001</c:v>
                </c:pt>
                <c:pt idx="1033">
                  <c:v>2.0873379999999999</c:v>
                </c:pt>
                <c:pt idx="1034">
                  <c:v>3.0334560000000002</c:v>
                </c:pt>
                <c:pt idx="1035">
                  <c:v>7.1472179999999996</c:v>
                </c:pt>
                <c:pt idx="1036">
                  <c:v>4.8646640000000003</c:v>
                </c:pt>
                <c:pt idx="1037">
                  <c:v>2.6255980000000001</c:v>
                </c:pt>
                <c:pt idx="1038">
                  <c:v>2.0522960000000001</c:v>
                </c:pt>
                <c:pt idx="1039">
                  <c:v>1.7591019999999999</c:v>
                </c:pt>
                <c:pt idx="1040">
                  <c:v>1.2437419999999999</c:v>
                </c:pt>
                <c:pt idx="1041">
                  <c:v>2.755512</c:v>
                </c:pt>
                <c:pt idx="1042">
                  <c:v>1.4595260000000001</c:v>
                </c:pt>
                <c:pt idx="1043">
                  <c:v>2.4809299999999999</c:v>
                </c:pt>
                <c:pt idx="1044">
                  <c:v>2.281498</c:v>
                </c:pt>
                <c:pt idx="1045">
                  <c:v>2.0067379999999999</c:v>
                </c:pt>
                <c:pt idx="1046">
                  <c:v>2.6363020000000001</c:v>
                </c:pt>
                <c:pt idx="1047">
                  <c:v>2.8295620000000001</c:v>
                </c:pt>
                <c:pt idx="1048">
                  <c:v>1.8048900000000001</c:v>
                </c:pt>
                <c:pt idx="1049">
                  <c:v>1.2099040000000001</c:v>
                </c:pt>
                <c:pt idx="1050">
                  <c:v>0.93833599999999995</c:v>
                </c:pt>
                <c:pt idx="1051">
                  <c:v>1.99159</c:v>
                </c:pt>
                <c:pt idx="1052">
                  <c:v>1.7747360000000001</c:v>
                </c:pt>
                <c:pt idx="1053">
                  <c:v>1.4026419999999999</c:v>
                </c:pt>
                <c:pt idx="1054">
                  <c:v>2.1035439999999999</c:v>
                </c:pt>
                <c:pt idx="1055">
                  <c:v>0.95972599999999997</c:v>
                </c:pt>
                <c:pt idx="1056">
                  <c:v>2.3232520000000001</c:v>
                </c:pt>
                <c:pt idx="1057">
                  <c:v>1.1276679999999999</c:v>
                </c:pt>
                <c:pt idx="1058">
                  <c:v>1.876258</c:v>
                </c:pt>
                <c:pt idx="1059">
                  <c:v>2.5552440000000001</c:v>
                </c:pt>
                <c:pt idx="1060">
                  <c:v>2.6014539999999999</c:v>
                </c:pt>
                <c:pt idx="1061">
                  <c:v>2.4827720000000002</c:v>
                </c:pt>
                <c:pt idx="1062">
                  <c:v>2.667208</c:v>
                </c:pt>
                <c:pt idx="1063">
                  <c:v>2.5646800000000001</c:v>
                </c:pt>
                <c:pt idx="1064">
                  <c:v>2.7161960000000001</c:v>
                </c:pt>
                <c:pt idx="1065">
                  <c:v>2.715808</c:v>
                </c:pt>
                <c:pt idx="1066">
                  <c:v>1.7628699999999999</c:v>
                </c:pt>
                <c:pt idx="1067">
                  <c:v>1.3227279999999999</c:v>
                </c:pt>
                <c:pt idx="1068">
                  <c:v>2.11896</c:v>
                </c:pt>
                <c:pt idx="1069">
                  <c:v>4.4142619999999999</c:v>
                </c:pt>
                <c:pt idx="1070">
                  <c:v>3.4294859999999998</c:v>
                </c:pt>
                <c:pt idx="1071">
                  <c:v>3.2838639999999999</c:v>
                </c:pt>
                <c:pt idx="1072">
                  <c:v>3.008524</c:v>
                </c:pt>
                <c:pt idx="1073">
                  <c:v>2.6624400000000001</c:v>
                </c:pt>
                <c:pt idx="1074">
                  <c:v>2.1541399999999999</c:v>
                </c:pt>
                <c:pt idx="1075">
                  <c:v>1.3348500000000001</c:v>
                </c:pt>
                <c:pt idx="1076">
                  <c:v>1.6125659999999999</c:v>
                </c:pt>
                <c:pt idx="1077">
                  <c:v>1.918528</c:v>
                </c:pt>
                <c:pt idx="1078">
                  <c:v>1.641634</c:v>
                </c:pt>
                <c:pt idx="1079">
                  <c:v>1.482138</c:v>
                </c:pt>
                <c:pt idx="1080">
                  <c:v>1.0142720000000001</c:v>
                </c:pt>
                <c:pt idx="1081">
                  <c:v>1.9770460000000001</c:v>
                </c:pt>
                <c:pt idx="1082">
                  <c:v>1.7523200000000001</c:v>
                </c:pt>
                <c:pt idx="1083">
                  <c:v>1.660684</c:v>
                </c:pt>
                <c:pt idx="1084">
                  <c:v>1.551202</c:v>
                </c:pt>
                <c:pt idx="1085">
                  <c:v>1.25145</c:v>
                </c:pt>
                <c:pt idx="1086">
                  <c:v>1.433818</c:v>
                </c:pt>
                <c:pt idx="1087">
                  <c:v>1.6504099999999999</c:v>
                </c:pt>
                <c:pt idx="1088">
                  <c:v>1.5871820000000001</c:v>
                </c:pt>
                <c:pt idx="1089">
                  <c:v>2.0448</c:v>
                </c:pt>
                <c:pt idx="1090">
                  <c:v>2.6773539999999998</c:v>
                </c:pt>
                <c:pt idx="1091">
                  <c:v>2.2484519999999999</c:v>
                </c:pt>
                <c:pt idx="1092">
                  <c:v>2.51315</c:v>
                </c:pt>
                <c:pt idx="1093">
                  <c:v>1.3225499999999999</c:v>
                </c:pt>
                <c:pt idx="1094">
                  <c:v>2.3970159999999998</c:v>
                </c:pt>
                <c:pt idx="1095">
                  <c:v>2.3136580000000002</c:v>
                </c:pt>
                <c:pt idx="1096">
                  <c:v>7.7655799999999999</c:v>
                </c:pt>
                <c:pt idx="1097">
                  <c:v>3.506316</c:v>
                </c:pt>
                <c:pt idx="1098">
                  <c:v>3.4972859999999999</c:v>
                </c:pt>
                <c:pt idx="1099">
                  <c:v>2.5935380000000001</c:v>
                </c:pt>
                <c:pt idx="1100">
                  <c:v>2.4113000000000002</c:v>
                </c:pt>
                <c:pt idx="1101">
                  <c:v>1.454256</c:v>
                </c:pt>
                <c:pt idx="1102">
                  <c:v>1.1292740000000001</c:v>
                </c:pt>
                <c:pt idx="1103">
                  <c:v>4.7850599999999996</c:v>
                </c:pt>
                <c:pt idx="1104">
                  <c:v>2.5602580000000001</c:v>
                </c:pt>
                <c:pt idx="1105">
                  <c:v>3.838206</c:v>
                </c:pt>
                <c:pt idx="1106">
                  <c:v>2.1023480000000001</c:v>
                </c:pt>
                <c:pt idx="1107">
                  <c:v>1.3265560000000001</c:v>
                </c:pt>
                <c:pt idx="1108">
                  <c:v>1.900328</c:v>
                </c:pt>
                <c:pt idx="1109">
                  <c:v>2.5735160000000001</c:v>
                </c:pt>
                <c:pt idx="1110">
                  <c:v>2.803086</c:v>
                </c:pt>
                <c:pt idx="1111">
                  <c:v>1.8774740000000001</c:v>
                </c:pt>
                <c:pt idx="1112">
                  <c:v>1.4877339999999999</c:v>
                </c:pt>
                <c:pt idx="1113">
                  <c:v>2.425986</c:v>
                </c:pt>
                <c:pt idx="1114">
                  <c:v>1.1199060000000001</c:v>
                </c:pt>
                <c:pt idx="1115">
                  <c:v>1.849926</c:v>
                </c:pt>
                <c:pt idx="1116">
                  <c:v>2.1156760000000001</c:v>
                </c:pt>
                <c:pt idx="1117">
                  <c:v>3.4783759999999999</c:v>
                </c:pt>
                <c:pt idx="1118">
                  <c:v>3.1583679999999998</c:v>
                </c:pt>
                <c:pt idx="1119">
                  <c:v>1.4549780000000001</c:v>
                </c:pt>
                <c:pt idx="1120">
                  <c:v>1.37704</c:v>
                </c:pt>
                <c:pt idx="1121">
                  <c:v>1.5547139999999999</c:v>
                </c:pt>
                <c:pt idx="1122">
                  <c:v>3.4122859999999999</c:v>
                </c:pt>
                <c:pt idx="1123">
                  <c:v>2.9343080000000001</c:v>
                </c:pt>
                <c:pt idx="1124">
                  <c:v>2.054252</c:v>
                </c:pt>
                <c:pt idx="1125">
                  <c:v>1.5956939999999999</c:v>
                </c:pt>
                <c:pt idx="1126">
                  <c:v>1.75658</c:v>
                </c:pt>
                <c:pt idx="1127">
                  <c:v>2.8637739999999998</c:v>
                </c:pt>
                <c:pt idx="1128">
                  <c:v>4.1332120000000003</c:v>
                </c:pt>
                <c:pt idx="1129">
                  <c:v>1.507104</c:v>
                </c:pt>
                <c:pt idx="1130">
                  <c:v>1.7779259999999999</c:v>
                </c:pt>
                <c:pt idx="1131">
                  <c:v>1.263166</c:v>
                </c:pt>
                <c:pt idx="1132">
                  <c:v>3.6322679999999998</c:v>
                </c:pt>
                <c:pt idx="1133">
                  <c:v>1.2164360000000001</c:v>
                </c:pt>
                <c:pt idx="1134">
                  <c:v>2.0418379999999998</c:v>
                </c:pt>
                <c:pt idx="1135">
                  <c:v>1.4247080000000001</c:v>
                </c:pt>
                <c:pt idx="1136">
                  <c:v>3.1276799999999998</c:v>
                </c:pt>
                <c:pt idx="1137">
                  <c:v>3.0884179999999999</c:v>
                </c:pt>
                <c:pt idx="1138">
                  <c:v>2.0466839999999999</c:v>
                </c:pt>
                <c:pt idx="1139">
                  <c:v>2.279922</c:v>
                </c:pt>
                <c:pt idx="1140">
                  <c:v>2.486634</c:v>
                </c:pt>
                <c:pt idx="1141">
                  <c:v>2.9275600000000002</c:v>
                </c:pt>
                <c:pt idx="1142">
                  <c:v>2.678544</c:v>
                </c:pt>
                <c:pt idx="1143">
                  <c:v>2.9150740000000002</c:v>
                </c:pt>
                <c:pt idx="1144">
                  <c:v>2.6408200000000002</c:v>
                </c:pt>
                <c:pt idx="1145">
                  <c:v>2.1346560000000001</c:v>
                </c:pt>
                <c:pt idx="1146">
                  <c:v>2.7346539999999999</c:v>
                </c:pt>
                <c:pt idx="1147">
                  <c:v>2.623434</c:v>
                </c:pt>
                <c:pt idx="1148">
                  <c:v>1.979832</c:v>
                </c:pt>
                <c:pt idx="1149">
                  <c:v>2.790022</c:v>
                </c:pt>
                <c:pt idx="1150">
                  <c:v>2.3001659999999999</c:v>
                </c:pt>
                <c:pt idx="1151">
                  <c:v>2.7654860000000001</c:v>
                </c:pt>
                <c:pt idx="1152">
                  <c:v>1.6894979999999999</c:v>
                </c:pt>
                <c:pt idx="1153">
                  <c:v>1.9690099999999999</c:v>
                </c:pt>
                <c:pt idx="1154">
                  <c:v>4.2482559999999996</c:v>
                </c:pt>
                <c:pt idx="1155">
                  <c:v>2.9998559999999999</c:v>
                </c:pt>
                <c:pt idx="1156">
                  <c:v>2.1874799999999999</c:v>
                </c:pt>
                <c:pt idx="1157">
                  <c:v>1.620126</c:v>
                </c:pt>
                <c:pt idx="1158">
                  <c:v>1.88568</c:v>
                </c:pt>
                <c:pt idx="1159">
                  <c:v>1.923</c:v>
                </c:pt>
                <c:pt idx="1160">
                  <c:v>2.0479379999999998</c:v>
                </c:pt>
                <c:pt idx="1161">
                  <c:v>3.026484</c:v>
                </c:pt>
                <c:pt idx="1162">
                  <c:v>3.0625439999999999</c:v>
                </c:pt>
                <c:pt idx="1163">
                  <c:v>2.8976440000000001</c:v>
                </c:pt>
                <c:pt idx="1164">
                  <c:v>3.3121800000000001</c:v>
                </c:pt>
                <c:pt idx="1165">
                  <c:v>5.3177599999999998</c:v>
                </c:pt>
                <c:pt idx="1166">
                  <c:v>3.14832</c:v>
                </c:pt>
                <c:pt idx="1167">
                  <c:v>6.1692840000000002</c:v>
                </c:pt>
                <c:pt idx="1168">
                  <c:v>3.0680260000000001</c:v>
                </c:pt>
                <c:pt idx="1169">
                  <c:v>4.0637259999999999</c:v>
                </c:pt>
                <c:pt idx="1170">
                  <c:v>2.9721380000000002</c:v>
                </c:pt>
                <c:pt idx="1171">
                  <c:v>2.9484460000000001</c:v>
                </c:pt>
                <c:pt idx="1172">
                  <c:v>3.1167539999999998</c:v>
                </c:pt>
                <c:pt idx="1173">
                  <c:v>3.9954900000000002</c:v>
                </c:pt>
                <c:pt idx="1174">
                  <c:v>2.806476</c:v>
                </c:pt>
                <c:pt idx="1175">
                  <c:v>2.424194</c:v>
                </c:pt>
                <c:pt idx="1176">
                  <c:v>3.275118</c:v>
                </c:pt>
                <c:pt idx="1177">
                  <c:v>2.0196719999999999</c:v>
                </c:pt>
                <c:pt idx="1178">
                  <c:v>2.1824159999999999</c:v>
                </c:pt>
                <c:pt idx="1179">
                  <c:v>2.2819500000000001</c:v>
                </c:pt>
                <c:pt idx="1180">
                  <c:v>2.3837380000000001</c:v>
                </c:pt>
                <c:pt idx="1181">
                  <c:v>2.7764899999999999</c:v>
                </c:pt>
                <c:pt idx="1182">
                  <c:v>3.028152</c:v>
                </c:pt>
                <c:pt idx="1183">
                  <c:v>3.6985459999999999</c:v>
                </c:pt>
                <c:pt idx="1184">
                  <c:v>2.4626060000000001</c:v>
                </c:pt>
                <c:pt idx="1185">
                  <c:v>2.30355</c:v>
                </c:pt>
                <c:pt idx="1186">
                  <c:v>4.0405699999999998</c:v>
                </c:pt>
                <c:pt idx="1187">
                  <c:v>3.4765380000000001</c:v>
                </c:pt>
                <c:pt idx="1188">
                  <c:v>2.4237899999999999</c:v>
                </c:pt>
                <c:pt idx="1189">
                  <c:v>1.5313000000000001</c:v>
                </c:pt>
                <c:pt idx="1190">
                  <c:v>2.5520480000000001</c:v>
                </c:pt>
                <c:pt idx="1191">
                  <c:v>3.0008560000000002</c:v>
                </c:pt>
                <c:pt idx="1192">
                  <c:v>3.3999280000000001</c:v>
                </c:pt>
                <c:pt idx="1193">
                  <c:v>3.8926259999999999</c:v>
                </c:pt>
                <c:pt idx="1194">
                  <c:v>1.9595560000000001</c:v>
                </c:pt>
                <c:pt idx="1195">
                  <c:v>2.330584</c:v>
                </c:pt>
                <c:pt idx="1196">
                  <c:v>1.752702</c:v>
                </c:pt>
                <c:pt idx="1197">
                  <c:v>1.063574</c:v>
                </c:pt>
                <c:pt idx="1198">
                  <c:v>0.97375400000000001</c:v>
                </c:pt>
                <c:pt idx="1199">
                  <c:v>0.75280199999999997</c:v>
                </c:pt>
                <c:pt idx="1200">
                  <c:v>1.3006819999999999</c:v>
                </c:pt>
                <c:pt idx="1201">
                  <c:v>0.99923399999999996</c:v>
                </c:pt>
                <c:pt idx="1202">
                  <c:v>0.84262199999999998</c:v>
                </c:pt>
                <c:pt idx="1203">
                  <c:v>0.86640399999999995</c:v>
                </c:pt>
                <c:pt idx="1204">
                  <c:v>2.2576040000000002</c:v>
                </c:pt>
                <c:pt idx="1205">
                  <c:v>1.29505</c:v>
                </c:pt>
                <c:pt idx="1206">
                  <c:v>1.18533</c:v>
                </c:pt>
                <c:pt idx="1207">
                  <c:v>1.271056</c:v>
                </c:pt>
                <c:pt idx="1208">
                  <c:v>1.0963320000000001</c:v>
                </c:pt>
                <c:pt idx="1209">
                  <c:v>1.5198940000000001</c:v>
                </c:pt>
                <c:pt idx="1210">
                  <c:v>2.317396</c:v>
                </c:pt>
                <c:pt idx="1211">
                  <c:v>2.228192</c:v>
                </c:pt>
                <c:pt idx="1212">
                  <c:v>1.874854</c:v>
                </c:pt>
                <c:pt idx="1213">
                  <c:v>1.7914639999999999</c:v>
                </c:pt>
                <c:pt idx="1214">
                  <c:v>1.431052</c:v>
                </c:pt>
                <c:pt idx="1215">
                  <c:v>2.3016559999999999</c:v>
                </c:pt>
                <c:pt idx="1216">
                  <c:v>3.3836759999999999</c:v>
                </c:pt>
                <c:pt idx="1217">
                  <c:v>1.513072</c:v>
                </c:pt>
                <c:pt idx="1218">
                  <c:v>2.1183839999999998</c:v>
                </c:pt>
                <c:pt idx="1219">
                  <c:v>3.0474700000000001</c:v>
                </c:pt>
                <c:pt idx="1220">
                  <c:v>2.0032220000000001</c:v>
                </c:pt>
                <c:pt idx="1221">
                  <c:v>4.1916840000000004</c:v>
                </c:pt>
                <c:pt idx="1222">
                  <c:v>1.6113820000000001</c:v>
                </c:pt>
                <c:pt idx="1223">
                  <c:v>2.6695359999999999</c:v>
                </c:pt>
                <c:pt idx="1224">
                  <c:v>2.1736040000000001</c:v>
                </c:pt>
                <c:pt idx="1225">
                  <c:v>2.613766</c:v>
                </c:pt>
                <c:pt idx="1226">
                  <c:v>1.8177859999999999</c:v>
                </c:pt>
                <c:pt idx="1227">
                  <c:v>2.7006399999999999</c:v>
                </c:pt>
                <c:pt idx="1228">
                  <c:v>2.3136040000000002</c:v>
                </c:pt>
                <c:pt idx="1229">
                  <c:v>1.462062</c:v>
                </c:pt>
                <c:pt idx="1230">
                  <c:v>1.5205960000000001</c:v>
                </c:pt>
                <c:pt idx="1231">
                  <c:v>1.2742640000000001</c:v>
                </c:pt>
                <c:pt idx="1232">
                  <c:v>1.275542</c:v>
                </c:pt>
                <c:pt idx="1233">
                  <c:v>1.1301019999999999</c:v>
                </c:pt>
                <c:pt idx="1234">
                  <c:v>1.860222</c:v>
                </c:pt>
                <c:pt idx="1235">
                  <c:v>1.794346</c:v>
                </c:pt>
                <c:pt idx="1236">
                  <c:v>1.175314</c:v>
                </c:pt>
                <c:pt idx="1237">
                  <c:v>1.2301139999999999</c:v>
                </c:pt>
                <c:pt idx="1238">
                  <c:v>0.704542</c:v>
                </c:pt>
                <c:pt idx="1239">
                  <c:v>2.0951620000000002</c:v>
                </c:pt>
                <c:pt idx="1240">
                  <c:v>3.162944</c:v>
                </c:pt>
                <c:pt idx="1241">
                  <c:v>1.2414240000000001</c:v>
                </c:pt>
                <c:pt idx="1242">
                  <c:v>1.7027620000000001</c:v>
                </c:pt>
                <c:pt idx="1243">
                  <c:v>1.2477720000000001</c:v>
                </c:pt>
                <c:pt idx="1244">
                  <c:v>4.118042</c:v>
                </c:pt>
                <c:pt idx="1245">
                  <c:v>3.2035</c:v>
                </c:pt>
                <c:pt idx="1246">
                  <c:v>2.5386340000000001</c:v>
                </c:pt>
                <c:pt idx="1247">
                  <c:v>1.7653460000000001</c:v>
                </c:pt>
                <c:pt idx="1248">
                  <c:v>2.1519919999999999</c:v>
                </c:pt>
                <c:pt idx="1249">
                  <c:v>1.2591019999999999</c:v>
                </c:pt>
                <c:pt idx="1250">
                  <c:v>2.1428419999999999</c:v>
                </c:pt>
                <c:pt idx="1251">
                  <c:v>1.577698</c:v>
                </c:pt>
                <c:pt idx="1252">
                  <c:v>2.0751680000000001</c:v>
                </c:pt>
                <c:pt idx="1253">
                  <c:v>0.98292199999999996</c:v>
                </c:pt>
                <c:pt idx="1254">
                  <c:v>1.388104</c:v>
                </c:pt>
                <c:pt idx="1255">
                  <c:v>1.1383319999999999</c:v>
                </c:pt>
                <c:pt idx="1256">
                  <c:v>2.720132</c:v>
                </c:pt>
                <c:pt idx="1257">
                  <c:v>3.8069359999999999</c:v>
                </c:pt>
                <c:pt idx="1258">
                  <c:v>2.9256280000000001</c:v>
                </c:pt>
                <c:pt idx="1259">
                  <c:v>2.3742559999999999</c:v>
                </c:pt>
                <c:pt idx="1260">
                  <c:v>1.358992</c:v>
                </c:pt>
                <c:pt idx="1261">
                  <c:v>2.2771159999999999</c:v>
                </c:pt>
                <c:pt idx="1262">
                  <c:v>1.7</c:v>
                </c:pt>
                <c:pt idx="1263">
                  <c:v>1.80667</c:v>
                </c:pt>
                <c:pt idx="1264">
                  <c:v>1.9019280000000001</c:v>
                </c:pt>
                <c:pt idx="1265">
                  <c:v>1.6160939999999999</c:v>
                </c:pt>
                <c:pt idx="1266">
                  <c:v>1.4033500000000001</c:v>
                </c:pt>
                <c:pt idx="1267">
                  <c:v>3.6396660000000001</c:v>
                </c:pt>
              </c:numCache>
            </c:numRef>
          </c:val>
          <c:extLst>
            <c:ext xmlns:c16="http://schemas.microsoft.com/office/drawing/2014/chart" uri="{C3380CC4-5D6E-409C-BE32-E72D297353CC}">
              <c16:uniqueId val="{00000000-5F85-40AE-88C8-7DA7887C93AC}"/>
            </c:ext>
          </c:extLst>
        </c:ser>
        <c:dLbls>
          <c:showLegendKey val="0"/>
          <c:showVal val="0"/>
          <c:showCatName val="0"/>
          <c:showSerName val="0"/>
          <c:showPercent val="0"/>
          <c:showBubbleSize val="0"/>
        </c:dLbls>
        <c:gapWidth val="150"/>
        <c:axId val="187788240"/>
        <c:axId val="187786576"/>
      </c:barChart>
      <c:lineChart>
        <c:grouping val="standard"/>
        <c:varyColors val="0"/>
        <c:ser>
          <c:idx val="0"/>
          <c:order val="0"/>
          <c:tx>
            <c:strRef>
              <c:f>Backups!$C$4</c:f>
              <c:strCache>
                <c:ptCount val="1"/>
                <c:pt idx="0">
                  <c:v>Adj. price  </c:v>
                </c:pt>
              </c:strCache>
            </c:strRef>
          </c:tx>
          <c:spPr>
            <a:ln w="12700" cap="rnd">
              <a:solidFill>
                <a:srgbClr val="002060"/>
              </a:solidFill>
              <a:round/>
            </a:ln>
            <a:effectLst/>
          </c:spPr>
          <c:marker>
            <c:symbol val="none"/>
          </c:marker>
          <c:cat>
            <c:numRef>
              <c:f>Backups!$B$5:$B$1272</c:f>
              <c:numCache>
                <c:formatCode>dd/mm/yyyy_)_)</c:formatCode>
                <c:ptCount val="1268"/>
                <c:pt idx="0">
                  <c:v>41001</c:v>
                </c:pt>
                <c:pt idx="1">
                  <c:v>41002</c:v>
                </c:pt>
                <c:pt idx="2">
                  <c:v>41003</c:v>
                </c:pt>
                <c:pt idx="3">
                  <c:v>41004</c:v>
                </c:pt>
                <c:pt idx="4">
                  <c:v>41009</c:v>
                </c:pt>
                <c:pt idx="5">
                  <c:v>41010</c:v>
                </c:pt>
                <c:pt idx="6">
                  <c:v>41011</c:v>
                </c:pt>
                <c:pt idx="7">
                  <c:v>41012</c:v>
                </c:pt>
                <c:pt idx="8">
                  <c:v>41015</c:v>
                </c:pt>
                <c:pt idx="9">
                  <c:v>41016</c:v>
                </c:pt>
                <c:pt idx="10">
                  <c:v>41017</c:v>
                </c:pt>
                <c:pt idx="11">
                  <c:v>41018</c:v>
                </c:pt>
                <c:pt idx="12">
                  <c:v>41019</c:v>
                </c:pt>
                <c:pt idx="13">
                  <c:v>41022</c:v>
                </c:pt>
                <c:pt idx="14">
                  <c:v>41023</c:v>
                </c:pt>
                <c:pt idx="15">
                  <c:v>41024</c:v>
                </c:pt>
                <c:pt idx="16">
                  <c:v>41025</c:v>
                </c:pt>
                <c:pt idx="17">
                  <c:v>41026</c:v>
                </c:pt>
                <c:pt idx="18">
                  <c:v>41029</c:v>
                </c:pt>
                <c:pt idx="19">
                  <c:v>41031</c:v>
                </c:pt>
                <c:pt idx="20">
                  <c:v>41032</c:v>
                </c:pt>
                <c:pt idx="21">
                  <c:v>41033</c:v>
                </c:pt>
                <c:pt idx="22">
                  <c:v>41036</c:v>
                </c:pt>
                <c:pt idx="23">
                  <c:v>41037</c:v>
                </c:pt>
                <c:pt idx="24">
                  <c:v>41038</c:v>
                </c:pt>
                <c:pt idx="25">
                  <c:v>41039</c:v>
                </c:pt>
                <c:pt idx="26">
                  <c:v>41040</c:v>
                </c:pt>
                <c:pt idx="27">
                  <c:v>41043</c:v>
                </c:pt>
                <c:pt idx="28">
                  <c:v>41044</c:v>
                </c:pt>
                <c:pt idx="29">
                  <c:v>41045</c:v>
                </c:pt>
                <c:pt idx="30">
                  <c:v>41046</c:v>
                </c:pt>
                <c:pt idx="31">
                  <c:v>41047</c:v>
                </c:pt>
                <c:pt idx="32">
                  <c:v>41050</c:v>
                </c:pt>
                <c:pt idx="33">
                  <c:v>41051</c:v>
                </c:pt>
                <c:pt idx="34">
                  <c:v>41052</c:v>
                </c:pt>
                <c:pt idx="35">
                  <c:v>41053</c:v>
                </c:pt>
                <c:pt idx="36">
                  <c:v>41054</c:v>
                </c:pt>
                <c:pt idx="37">
                  <c:v>41057</c:v>
                </c:pt>
                <c:pt idx="38">
                  <c:v>41058</c:v>
                </c:pt>
                <c:pt idx="39">
                  <c:v>41059</c:v>
                </c:pt>
                <c:pt idx="40">
                  <c:v>41060</c:v>
                </c:pt>
                <c:pt idx="41">
                  <c:v>41061</c:v>
                </c:pt>
                <c:pt idx="42">
                  <c:v>41064</c:v>
                </c:pt>
                <c:pt idx="43">
                  <c:v>41065</c:v>
                </c:pt>
                <c:pt idx="44">
                  <c:v>41066</c:v>
                </c:pt>
                <c:pt idx="45">
                  <c:v>41067</c:v>
                </c:pt>
                <c:pt idx="46">
                  <c:v>41068</c:v>
                </c:pt>
                <c:pt idx="47">
                  <c:v>41071</c:v>
                </c:pt>
                <c:pt idx="48">
                  <c:v>41072</c:v>
                </c:pt>
                <c:pt idx="49">
                  <c:v>41073</c:v>
                </c:pt>
                <c:pt idx="50">
                  <c:v>41074</c:v>
                </c:pt>
                <c:pt idx="51">
                  <c:v>41075</c:v>
                </c:pt>
                <c:pt idx="52">
                  <c:v>41078</c:v>
                </c:pt>
                <c:pt idx="53">
                  <c:v>41079</c:v>
                </c:pt>
                <c:pt idx="54">
                  <c:v>41080</c:v>
                </c:pt>
                <c:pt idx="55">
                  <c:v>41081</c:v>
                </c:pt>
                <c:pt idx="56">
                  <c:v>41082</c:v>
                </c:pt>
                <c:pt idx="57">
                  <c:v>41085</c:v>
                </c:pt>
                <c:pt idx="58">
                  <c:v>41086</c:v>
                </c:pt>
                <c:pt idx="59">
                  <c:v>41087</c:v>
                </c:pt>
                <c:pt idx="60">
                  <c:v>41088</c:v>
                </c:pt>
                <c:pt idx="61">
                  <c:v>41089</c:v>
                </c:pt>
                <c:pt idx="62">
                  <c:v>41092</c:v>
                </c:pt>
                <c:pt idx="63">
                  <c:v>41093</c:v>
                </c:pt>
                <c:pt idx="64">
                  <c:v>41094</c:v>
                </c:pt>
                <c:pt idx="65">
                  <c:v>41095</c:v>
                </c:pt>
                <c:pt idx="66">
                  <c:v>41096</c:v>
                </c:pt>
                <c:pt idx="67">
                  <c:v>41099</c:v>
                </c:pt>
                <c:pt idx="68">
                  <c:v>41100</c:v>
                </c:pt>
                <c:pt idx="69">
                  <c:v>41101</c:v>
                </c:pt>
                <c:pt idx="70">
                  <c:v>41102</c:v>
                </c:pt>
                <c:pt idx="71">
                  <c:v>41103</c:v>
                </c:pt>
                <c:pt idx="72">
                  <c:v>41106</c:v>
                </c:pt>
                <c:pt idx="73">
                  <c:v>41107</c:v>
                </c:pt>
                <c:pt idx="74">
                  <c:v>41108</c:v>
                </c:pt>
                <c:pt idx="75">
                  <c:v>41109</c:v>
                </c:pt>
                <c:pt idx="76">
                  <c:v>41110</c:v>
                </c:pt>
                <c:pt idx="77">
                  <c:v>41113</c:v>
                </c:pt>
                <c:pt idx="78">
                  <c:v>41114</c:v>
                </c:pt>
                <c:pt idx="79">
                  <c:v>41115</c:v>
                </c:pt>
                <c:pt idx="80">
                  <c:v>41116</c:v>
                </c:pt>
                <c:pt idx="81">
                  <c:v>41117</c:v>
                </c:pt>
                <c:pt idx="82">
                  <c:v>41120</c:v>
                </c:pt>
                <c:pt idx="83">
                  <c:v>41121</c:v>
                </c:pt>
                <c:pt idx="84">
                  <c:v>41122</c:v>
                </c:pt>
                <c:pt idx="85">
                  <c:v>41123</c:v>
                </c:pt>
                <c:pt idx="86">
                  <c:v>41124</c:v>
                </c:pt>
                <c:pt idx="87">
                  <c:v>41127</c:v>
                </c:pt>
                <c:pt idx="88">
                  <c:v>41128</c:v>
                </c:pt>
                <c:pt idx="89">
                  <c:v>41129</c:v>
                </c:pt>
                <c:pt idx="90">
                  <c:v>41130</c:v>
                </c:pt>
                <c:pt idx="91">
                  <c:v>41131</c:v>
                </c:pt>
                <c:pt idx="92">
                  <c:v>41134</c:v>
                </c:pt>
                <c:pt idx="93">
                  <c:v>41135</c:v>
                </c:pt>
                <c:pt idx="94">
                  <c:v>41137</c:v>
                </c:pt>
                <c:pt idx="95">
                  <c:v>41138</c:v>
                </c:pt>
                <c:pt idx="96">
                  <c:v>41141</c:v>
                </c:pt>
                <c:pt idx="97">
                  <c:v>41142</c:v>
                </c:pt>
                <c:pt idx="98">
                  <c:v>41143</c:v>
                </c:pt>
                <c:pt idx="99">
                  <c:v>41144</c:v>
                </c:pt>
                <c:pt idx="100">
                  <c:v>41145</c:v>
                </c:pt>
                <c:pt idx="101">
                  <c:v>41148</c:v>
                </c:pt>
                <c:pt idx="102">
                  <c:v>41149</c:v>
                </c:pt>
                <c:pt idx="103">
                  <c:v>41150</c:v>
                </c:pt>
                <c:pt idx="104">
                  <c:v>41151</c:v>
                </c:pt>
                <c:pt idx="105">
                  <c:v>41152</c:v>
                </c:pt>
                <c:pt idx="106">
                  <c:v>41155</c:v>
                </c:pt>
                <c:pt idx="107">
                  <c:v>41156</c:v>
                </c:pt>
                <c:pt idx="108">
                  <c:v>41157</c:v>
                </c:pt>
                <c:pt idx="109">
                  <c:v>41158</c:v>
                </c:pt>
                <c:pt idx="110">
                  <c:v>41159</c:v>
                </c:pt>
                <c:pt idx="111">
                  <c:v>41162</c:v>
                </c:pt>
                <c:pt idx="112">
                  <c:v>41163</c:v>
                </c:pt>
                <c:pt idx="113">
                  <c:v>41164</c:v>
                </c:pt>
                <c:pt idx="114">
                  <c:v>41165</c:v>
                </c:pt>
                <c:pt idx="115">
                  <c:v>41166</c:v>
                </c:pt>
                <c:pt idx="116">
                  <c:v>41169</c:v>
                </c:pt>
                <c:pt idx="117">
                  <c:v>41170</c:v>
                </c:pt>
                <c:pt idx="118">
                  <c:v>41171</c:v>
                </c:pt>
                <c:pt idx="119">
                  <c:v>41172</c:v>
                </c:pt>
                <c:pt idx="120">
                  <c:v>41173</c:v>
                </c:pt>
                <c:pt idx="121">
                  <c:v>41176</c:v>
                </c:pt>
                <c:pt idx="122">
                  <c:v>41177</c:v>
                </c:pt>
                <c:pt idx="123">
                  <c:v>41178</c:v>
                </c:pt>
                <c:pt idx="124">
                  <c:v>41179</c:v>
                </c:pt>
                <c:pt idx="125">
                  <c:v>41180</c:v>
                </c:pt>
                <c:pt idx="126">
                  <c:v>41183</c:v>
                </c:pt>
                <c:pt idx="127">
                  <c:v>41184</c:v>
                </c:pt>
                <c:pt idx="128">
                  <c:v>41185</c:v>
                </c:pt>
                <c:pt idx="129">
                  <c:v>41186</c:v>
                </c:pt>
                <c:pt idx="130">
                  <c:v>41187</c:v>
                </c:pt>
                <c:pt idx="131">
                  <c:v>41190</c:v>
                </c:pt>
                <c:pt idx="132">
                  <c:v>41191</c:v>
                </c:pt>
                <c:pt idx="133">
                  <c:v>41192</c:v>
                </c:pt>
                <c:pt idx="134">
                  <c:v>41193</c:v>
                </c:pt>
                <c:pt idx="135">
                  <c:v>41194</c:v>
                </c:pt>
                <c:pt idx="136">
                  <c:v>41197</c:v>
                </c:pt>
                <c:pt idx="137">
                  <c:v>41198</c:v>
                </c:pt>
                <c:pt idx="138">
                  <c:v>41199</c:v>
                </c:pt>
                <c:pt idx="139">
                  <c:v>41200</c:v>
                </c:pt>
                <c:pt idx="140">
                  <c:v>41201</c:v>
                </c:pt>
                <c:pt idx="141">
                  <c:v>41204</c:v>
                </c:pt>
                <c:pt idx="142">
                  <c:v>41205</c:v>
                </c:pt>
                <c:pt idx="143">
                  <c:v>41206</c:v>
                </c:pt>
                <c:pt idx="144">
                  <c:v>41207</c:v>
                </c:pt>
                <c:pt idx="145">
                  <c:v>41208</c:v>
                </c:pt>
                <c:pt idx="146">
                  <c:v>41211</c:v>
                </c:pt>
                <c:pt idx="147">
                  <c:v>41212</c:v>
                </c:pt>
                <c:pt idx="148">
                  <c:v>41213</c:v>
                </c:pt>
                <c:pt idx="149">
                  <c:v>41214</c:v>
                </c:pt>
                <c:pt idx="150">
                  <c:v>41215</c:v>
                </c:pt>
                <c:pt idx="151">
                  <c:v>41218</c:v>
                </c:pt>
                <c:pt idx="152">
                  <c:v>41219</c:v>
                </c:pt>
                <c:pt idx="153">
                  <c:v>41220</c:v>
                </c:pt>
                <c:pt idx="154">
                  <c:v>41221</c:v>
                </c:pt>
                <c:pt idx="155">
                  <c:v>41222</c:v>
                </c:pt>
                <c:pt idx="156">
                  <c:v>41225</c:v>
                </c:pt>
                <c:pt idx="157">
                  <c:v>41226</c:v>
                </c:pt>
                <c:pt idx="158">
                  <c:v>41227</c:v>
                </c:pt>
                <c:pt idx="159">
                  <c:v>41228</c:v>
                </c:pt>
                <c:pt idx="160">
                  <c:v>41229</c:v>
                </c:pt>
                <c:pt idx="161">
                  <c:v>41232</c:v>
                </c:pt>
                <c:pt idx="162">
                  <c:v>41233</c:v>
                </c:pt>
                <c:pt idx="163">
                  <c:v>41234</c:v>
                </c:pt>
                <c:pt idx="164">
                  <c:v>41235</c:v>
                </c:pt>
                <c:pt idx="165">
                  <c:v>41236</c:v>
                </c:pt>
                <c:pt idx="166">
                  <c:v>41239</c:v>
                </c:pt>
                <c:pt idx="167">
                  <c:v>41240</c:v>
                </c:pt>
                <c:pt idx="168">
                  <c:v>41241</c:v>
                </c:pt>
                <c:pt idx="169">
                  <c:v>41242</c:v>
                </c:pt>
                <c:pt idx="170">
                  <c:v>41243</c:v>
                </c:pt>
                <c:pt idx="171">
                  <c:v>41246</c:v>
                </c:pt>
                <c:pt idx="172">
                  <c:v>41247</c:v>
                </c:pt>
                <c:pt idx="173">
                  <c:v>41248</c:v>
                </c:pt>
                <c:pt idx="174">
                  <c:v>41249</c:v>
                </c:pt>
                <c:pt idx="175">
                  <c:v>41250</c:v>
                </c:pt>
                <c:pt idx="176">
                  <c:v>41253</c:v>
                </c:pt>
                <c:pt idx="177">
                  <c:v>41254</c:v>
                </c:pt>
                <c:pt idx="178">
                  <c:v>41255</c:v>
                </c:pt>
                <c:pt idx="179">
                  <c:v>41256</c:v>
                </c:pt>
                <c:pt idx="180">
                  <c:v>41257</c:v>
                </c:pt>
                <c:pt idx="181">
                  <c:v>41260</c:v>
                </c:pt>
                <c:pt idx="182">
                  <c:v>41261</c:v>
                </c:pt>
                <c:pt idx="183">
                  <c:v>41262</c:v>
                </c:pt>
                <c:pt idx="184">
                  <c:v>41263</c:v>
                </c:pt>
                <c:pt idx="185">
                  <c:v>41264</c:v>
                </c:pt>
                <c:pt idx="186">
                  <c:v>41270</c:v>
                </c:pt>
                <c:pt idx="187">
                  <c:v>41271</c:v>
                </c:pt>
                <c:pt idx="188">
                  <c:v>41276</c:v>
                </c:pt>
                <c:pt idx="189">
                  <c:v>41277</c:v>
                </c:pt>
                <c:pt idx="190">
                  <c:v>41278</c:v>
                </c:pt>
                <c:pt idx="191">
                  <c:v>41281</c:v>
                </c:pt>
                <c:pt idx="192">
                  <c:v>41282</c:v>
                </c:pt>
                <c:pt idx="193">
                  <c:v>41283</c:v>
                </c:pt>
                <c:pt idx="194">
                  <c:v>41284</c:v>
                </c:pt>
                <c:pt idx="195">
                  <c:v>41285</c:v>
                </c:pt>
                <c:pt idx="196">
                  <c:v>41288</c:v>
                </c:pt>
                <c:pt idx="197">
                  <c:v>41289</c:v>
                </c:pt>
                <c:pt idx="198">
                  <c:v>41290</c:v>
                </c:pt>
                <c:pt idx="199">
                  <c:v>41291</c:v>
                </c:pt>
                <c:pt idx="200">
                  <c:v>41292</c:v>
                </c:pt>
                <c:pt idx="201">
                  <c:v>41295</c:v>
                </c:pt>
                <c:pt idx="202">
                  <c:v>41296</c:v>
                </c:pt>
                <c:pt idx="203">
                  <c:v>41297</c:v>
                </c:pt>
                <c:pt idx="204">
                  <c:v>41298</c:v>
                </c:pt>
                <c:pt idx="205">
                  <c:v>41299</c:v>
                </c:pt>
                <c:pt idx="206">
                  <c:v>41302</c:v>
                </c:pt>
                <c:pt idx="207">
                  <c:v>41303</c:v>
                </c:pt>
                <c:pt idx="208">
                  <c:v>41304</c:v>
                </c:pt>
                <c:pt idx="209">
                  <c:v>41305</c:v>
                </c:pt>
                <c:pt idx="210">
                  <c:v>41306</c:v>
                </c:pt>
                <c:pt idx="211">
                  <c:v>41309</c:v>
                </c:pt>
                <c:pt idx="212">
                  <c:v>41310</c:v>
                </c:pt>
                <c:pt idx="213">
                  <c:v>41311</c:v>
                </c:pt>
                <c:pt idx="214">
                  <c:v>41312</c:v>
                </c:pt>
                <c:pt idx="215">
                  <c:v>41313</c:v>
                </c:pt>
                <c:pt idx="216">
                  <c:v>41316</c:v>
                </c:pt>
                <c:pt idx="217">
                  <c:v>41317</c:v>
                </c:pt>
                <c:pt idx="218">
                  <c:v>41318</c:v>
                </c:pt>
                <c:pt idx="219">
                  <c:v>41319</c:v>
                </c:pt>
                <c:pt idx="220">
                  <c:v>41320</c:v>
                </c:pt>
                <c:pt idx="221">
                  <c:v>41323</c:v>
                </c:pt>
                <c:pt idx="222">
                  <c:v>41324</c:v>
                </c:pt>
                <c:pt idx="223">
                  <c:v>41325</c:v>
                </c:pt>
                <c:pt idx="224">
                  <c:v>41326</c:v>
                </c:pt>
                <c:pt idx="225">
                  <c:v>41327</c:v>
                </c:pt>
                <c:pt idx="226">
                  <c:v>41330</c:v>
                </c:pt>
                <c:pt idx="227">
                  <c:v>41331</c:v>
                </c:pt>
                <c:pt idx="228">
                  <c:v>41332</c:v>
                </c:pt>
                <c:pt idx="229">
                  <c:v>41333</c:v>
                </c:pt>
                <c:pt idx="230">
                  <c:v>41334</c:v>
                </c:pt>
                <c:pt idx="231">
                  <c:v>41337</c:v>
                </c:pt>
                <c:pt idx="232">
                  <c:v>41338</c:v>
                </c:pt>
                <c:pt idx="233">
                  <c:v>41339</c:v>
                </c:pt>
                <c:pt idx="234">
                  <c:v>41340</c:v>
                </c:pt>
                <c:pt idx="235">
                  <c:v>41341</c:v>
                </c:pt>
                <c:pt idx="236">
                  <c:v>41344</c:v>
                </c:pt>
                <c:pt idx="237">
                  <c:v>41345</c:v>
                </c:pt>
                <c:pt idx="238">
                  <c:v>41346</c:v>
                </c:pt>
                <c:pt idx="239">
                  <c:v>41347</c:v>
                </c:pt>
                <c:pt idx="240">
                  <c:v>41348</c:v>
                </c:pt>
                <c:pt idx="241">
                  <c:v>41351</c:v>
                </c:pt>
                <c:pt idx="242">
                  <c:v>41352</c:v>
                </c:pt>
                <c:pt idx="243">
                  <c:v>41353</c:v>
                </c:pt>
                <c:pt idx="244">
                  <c:v>41354</c:v>
                </c:pt>
                <c:pt idx="245">
                  <c:v>41355</c:v>
                </c:pt>
                <c:pt idx="246">
                  <c:v>41358</c:v>
                </c:pt>
                <c:pt idx="247">
                  <c:v>41359</c:v>
                </c:pt>
                <c:pt idx="248">
                  <c:v>41360</c:v>
                </c:pt>
                <c:pt idx="249">
                  <c:v>41361</c:v>
                </c:pt>
                <c:pt idx="250">
                  <c:v>41366</c:v>
                </c:pt>
                <c:pt idx="251">
                  <c:v>41367</c:v>
                </c:pt>
                <c:pt idx="252">
                  <c:v>41368</c:v>
                </c:pt>
                <c:pt idx="253">
                  <c:v>41369</c:v>
                </c:pt>
                <c:pt idx="254">
                  <c:v>41372</c:v>
                </c:pt>
                <c:pt idx="255">
                  <c:v>41373</c:v>
                </c:pt>
                <c:pt idx="256">
                  <c:v>41374</c:v>
                </c:pt>
                <c:pt idx="257">
                  <c:v>41375</c:v>
                </c:pt>
                <c:pt idx="258">
                  <c:v>41376</c:v>
                </c:pt>
                <c:pt idx="259">
                  <c:v>41379</c:v>
                </c:pt>
                <c:pt idx="260">
                  <c:v>41380</c:v>
                </c:pt>
                <c:pt idx="261">
                  <c:v>41381</c:v>
                </c:pt>
                <c:pt idx="262">
                  <c:v>41382</c:v>
                </c:pt>
                <c:pt idx="263">
                  <c:v>41383</c:v>
                </c:pt>
                <c:pt idx="264">
                  <c:v>41386</c:v>
                </c:pt>
                <c:pt idx="265">
                  <c:v>41387</c:v>
                </c:pt>
                <c:pt idx="266">
                  <c:v>41388</c:v>
                </c:pt>
                <c:pt idx="267">
                  <c:v>41389</c:v>
                </c:pt>
                <c:pt idx="268">
                  <c:v>41390</c:v>
                </c:pt>
                <c:pt idx="269">
                  <c:v>41393</c:v>
                </c:pt>
                <c:pt idx="270">
                  <c:v>41394</c:v>
                </c:pt>
                <c:pt idx="271">
                  <c:v>41396</c:v>
                </c:pt>
                <c:pt idx="272">
                  <c:v>41397</c:v>
                </c:pt>
                <c:pt idx="273">
                  <c:v>41400</c:v>
                </c:pt>
                <c:pt idx="274">
                  <c:v>41401</c:v>
                </c:pt>
                <c:pt idx="275">
                  <c:v>41402</c:v>
                </c:pt>
                <c:pt idx="276">
                  <c:v>41403</c:v>
                </c:pt>
                <c:pt idx="277">
                  <c:v>41404</c:v>
                </c:pt>
                <c:pt idx="278">
                  <c:v>41407</c:v>
                </c:pt>
                <c:pt idx="279">
                  <c:v>41408</c:v>
                </c:pt>
                <c:pt idx="280">
                  <c:v>41409</c:v>
                </c:pt>
                <c:pt idx="281">
                  <c:v>41410</c:v>
                </c:pt>
                <c:pt idx="282">
                  <c:v>41411</c:v>
                </c:pt>
                <c:pt idx="283">
                  <c:v>41414</c:v>
                </c:pt>
                <c:pt idx="284">
                  <c:v>41415</c:v>
                </c:pt>
                <c:pt idx="285">
                  <c:v>41416</c:v>
                </c:pt>
                <c:pt idx="286">
                  <c:v>41417</c:v>
                </c:pt>
                <c:pt idx="287">
                  <c:v>41418</c:v>
                </c:pt>
                <c:pt idx="288">
                  <c:v>41421</c:v>
                </c:pt>
                <c:pt idx="289">
                  <c:v>41422</c:v>
                </c:pt>
                <c:pt idx="290">
                  <c:v>41423</c:v>
                </c:pt>
                <c:pt idx="291">
                  <c:v>41424</c:v>
                </c:pt>
                <c:pt idx="292">
                  <c:v>41425</c:v>
                </c:pt>
                <c:pt idx="293">
                  <c:v>41428</c:v>
                </c:pt>
                <c:pt idx="294">
                  <c:v>41429</c:v>
                </c:pt>
                <c:pt idx="295">
                  <c:v>41430</c:v>
                </c:pt>
                <c:pt idx="296">
                  <c:v>41431</c:v>
                </c:pt>
                <c:pt idx="297">
                  <c:v>41432</c:v>
                </c:pt>
                <c:pt idx="298">
                  <c:v>41435</c:v>
                </c:pt>
                <c:pt idx="299">
                  <c:v>41436</c:v>
                </c:pt>
                <c:pt idx="300">
                  <c:v>41437</c:v>
                </c:pt>
                <c:pt idx="301">
                  <c:v>41438</c:v>
                </c:pt>
                <c:pt idx="302">
                  <c:v>41439</c:v>
                </c:pt>
                <c:pt idx="303">
                  <c:v>41442</c:v>
                </c:pt>
                <c:pt idx="304">
                  <c:v>41443</c:v>
                </c:pt>
                <c:pt idx="305">
                  <c:v>41444</c:v>
                </c:pt>
                <c:pt idx="306">
                  <c:v>41445</c:v>
                </c:pt>
                <c:pt idx="307">
                  <c:v>41446</c:v>
                </c:pt>
                <c:pt idx="308">
                  <c:v>41449</c:v>
                </c:pt>
                <c:pt idx="309">
                  <c:v>41450</c:v>
                </c:pt>
                <c:pt idx="310">
                  <c:v>41451</c:v>
                </c:pt>
                <c:pt idx="311">
                  <c:v>41452</c:v>
                </c:pt>
                <c:pt idx="312">
                  <c:v>41453</c:v>
                </c:pt>
                <c:pt idx="313">
                  <c:v>41456</c:v>
                </c:pt>
                <c:pt idx="314">
                  <c:v>41457</c:v>
                </c:pt>
                <c:pt idx="315">
                  <c:v>41458</c:v>
                </c:pt>
                <c:pt idx="316">
                  <c:v>41459</c:v>
                </c:pt>
                <c:pt idx="317">
                  <c:v>41460</c:v>
                </c:pt>
                <c:pt idx="318">
                  <c:v>41463</c:v>
                </c:pt>
                <c:pt idx="319">
                  <c:v>41464</c:v>
                </c:pt>
                <c:pt idx="320">
                  <c:v>41465</c:v>
                </c:pt>
                <c:pt idx="321">
                  <c:v>41466</c:v>
                </c:pt>
                <c:pt idx="322">
                  <c:v>41467</c:v>
                </c:pt>
                <c:pt idx="323">
                  <c:v>41470</c:v>
                </c:pt>
                <c:pt idx="324">
                  <c:v>41471</c:v>
                </c:pt>
                <c:pt idx="325">
                  <c:v>41472</c:v>
                </c:pt>
                <c:pt idx="326">
                  <c:v>41473</c:v>
                </c:pt>
                <c:pt idx="327">
                  <c:v>41474</c:v>
                </c:pt>
                <c:pt idx="328">
                  <c:v>41477</c:v>
                </c:pt>
                <c:pt idx="329">
                  <c:v>41478</c:v>
                </c:pt>
                <c:pt idx="330">
                  <c:v>41479</c:v>
                </c:pt>
                <c:pt idx="331">
                  <c:v>41480</c:v>
                </c:pt>
                <c:pt idx="332">
                  <c:v>41481</c:v>
                </c:pt>
                <c:pt idx="333">
                  <c:v>41484</c:v>
                </c:pt>
                <c:pt idx="334">
                  <c:v>41485</c:v>
                </c:pt>
                <c:pt idx="335">
                  <c:v>41486</c:v>
                </c:pt>
                <c:pt idx="336">
                  <c:v>41487</c:v>
                </c:pt>
                <c:pt idx="337">
                  <c:v>41488</c:v>
                </c:pt>
                <c:pt idx="338">
                  <c:v>41491</c:v>
                </c:pt>
                <c:pt idx="339">
                  <c:v>41492</c:v>
                </c:pt>
                <c:pt idx="340">
                  <c:v>41493</c:v>
                </c:pt>
                <c:pt idx="341">
                  <c:v>41494</c:v>
                </c:pt>
                <c:pt idx="342">
                  <c:v>41495</c:v>
                </c:pt>
                <c:pt idx="343">
                  <c:v>41498</c:v>
                </c:pt>
                <c:pt idx="344">
                  <c:v>41499</c:v>
                </c:pt>
                <c:pt idx="345">
                  <c:v>41500</c:v>
                </c:pt>
                <c:pt idx="346">
                  <c:v>41502</c:v>
                </c:pt>
                <c:pt idx="347">
                  <c:v>41505</c:v>
                </c:pt>
                <c:pt idx="348">
                  <c:v>41506</c:v>
                </c:pt>
                <c:pt idx="349">
                  <c:v>41507</c:v>
                </c:pt>
                <c:pt idx="350">
                  <c:v>41508</c:v>
                </c:pt>
                <c:pt idx="351">
                  <c:v>41509</c:v>
                </c:pt>
                <c:pt idx="352">
                  <c:v>41512</c:v>
                </c:pt>
                <c:pt idx="353">
                  <c:v>41513</c:v>
                </c:pt>
                <c:pt idx="354">
                  <c:v>41514</c:v>
                </c:pt>
                <c:pt idx="355">
                  <c:v>41515</c:v>
                </c:pt>
                <c:pt idx="356">
                  <c:v>41516</c:v>
                </c:pt>
                <c:pt idx="357">
                  <c:v>41519</c:v>
                </c:pt>
                <c:pt idx="358">
                  <c:v>41520</c:v>
                </c:pt>
                <c:pt idx="359">
                  <c:v>41521</c:v>
                </c:pt>
                <c:pt idx="360">
                  <c:v>41522</c:v>
                </c:pt>
                <c:pt idx="361">
                  <c:v>41523</c:v>
                </c:pt>
                <c:pt idx="362">
                  <c:v>41526</c:v>
                </c:pt>
                <c:pt idx="363">
                  <c:v>41527</c:v>
                </c:pt>
                <c:pt idx="364">
                  <c:v>41528</c:v>
                </c:pt>
                <c:pt idx="365">
                  <c:v>41529</c:v>
                </c:pt>
                <c:pt idx="366">
                  <c:v>41530</c:v>
                </c:pt>
                <c:pt idx="367">
                  <c:v>41533</c:v>
                </c:pt>
                <c:pt idx="368">
                  <c:v>41534</c:v>
                </c:pt>
                <c:pt idx="369">
                  <c:v>41535</c:v>
                </c:pt>
                <c:pt idx="370">
                  <c:v>41536</c:v>
                </c:pt>
                <c:pt idx="371">
                  <c:v>41537</c:v>
                </c:pt>
                <c:pt idx="372">
                  <c:v>41540</c:v>
                </c:pt>
                <c:pt idx="373">
                  <c:v>41541</c:v>
                </c:pt>
                <c:pt idx="374">
                  <c:v>41542</c:v>
                </c:pt>
                <c:pt idx="375">
                  <c:v>41543</c:v>
                </c:pt>
                <c:pt idx="376">
                  <c:v>41544</c:v>
                </c:pt>
                <c:pt idx="377">
                  <c:v>41547</c:v>
                </c:pt>
                <c:pt idx="378">
                  <c:v>41548</c:v>
                </c:pt>
                <c:pt idx="379">
                  <c:v>41549</c:v>
                </c:pt>
                <c:pt idx="380">
                  <c:v>41550</c:v>
                </c:pt>
                <c:pt idx="381">
                  <c:v>41551</c:v>
                </c:pt>
                <c:pt idx="382">
                  <c:v>41554</c:v>
                </c:pt>
                <c:pt idx="383">
                  <c:v>41555</c:v>
                </c:pt>
                <c:pt idx="384">
                  <c:v>41556</c:v>
                </c:pt>
                <c:pt idx="385">
                  <c:v>41557</c:v>
                </c:pt>
                <c:pt idx="386">
                  <c:v>41558</c:v>
                </c:pt>
                <c:pt idx="387">
                  <c:v>41561</c:v>
                </c:pt>
                <c:pt idx="388">
                  <c:v>41562</c:v>
                </c:pt>
                <c:pt idx="389">
                  <c:v>41563</c:v>
                </c:pt>
                <c:pt idx="390">
                  <c:v>41564</c:v>
                </c:pt>
                <c:pt idx="391">
                  <c:v>41565</c:v>
                </c:pt>
                <c:pt idx="392">
                  <c:v>41568</c:v>
                </c:pt>
                <c:pt idx="393">
                  <c:v>41569</c:v>
                </c:pt>
                <c:pt idx="394">
                  <c:v>41570</c:v>
                </c:pt>
                <c:pt idx="395">
                  <c:v>41571</c:v>
                </c:pt>
                <c:pt idx="396">
                  <c:v>41572</c:v>
                </c:pt>
                <c:pt idx="397">
                  <c:v>41575</c:v>
                </c:pt>
                <c:pt idx="398">
                  <c:v>41576</c:v>
                </c:pt>
                <c:pt idx="399">
                  <c:v>41577</c:v>
                </c:pt>
                <c:pt idx="400">
                  <c:v>41578</c:v>
                </c:pt>
                <c:pt idx="401">
                  <c:v>41579</c:v>
                </c:pt>
                <c:pt idx="402">
                  <c:v>41582</c:v>
                </c:pt>
                <c:pt idx="403">
                  <c:v>41583</c:v>
                </c:pt>
                <c:pt idx="404">
                  <c:v>41584</c:v>
                </c:pt>
                <c:pt idx="405">
                  <c:v>41585</c:v>
                </c:pt>
                <c:pt idx="406">
                  <c:v>41586</c:v>
                </c:pt>
                <c:pt idx="407">
                  <c:v>41589</c:v>
                </c:pt>
                <c:pt idx="408">
                  <c:v>41590</c:v>
                </c:pt>
                <c:pt idx="409">
                  <c:v>41591</c:v>
                </c:pt>
                <c:pt idx="410">
                  <c:v>41592</c:v>
                </c:pt>
                <c:pt idx="411">
                  <c:v>41593</c:v>
                </c:pt>
                <c:pt idx="412">
                  <c:v>41596</c:v>
                </c:pt>
                <c:pt idx="413">
                  <c:v>41597</c:v>
                </c:pt>
                <c:pt idx="414">
                  <c:v>41598</c:v>
                </c:pt>
                <c:pt idx="415">
                  <c:v>41599</c:v>
                </c:pt>
                <c:pt idx="416">
                  <c:v>41600</c:v>
                </c:pt>
                <c:pt idx="417">
                  <c:v>41603</c:v>
                </c:pt>
                <c:pt idx="418">
                  <c:v>41604</c:v>
                </c:pt>
                <c:pt idx="419">
                  <c:v>41605</c:v>
                </c:pt>
                <c:pt idx="420">
                  <c:v>41606</c:v>
                </c:pt>
                <c:pt idx="421">
                  <c:v>41607</c:v>
                </c:pt>
                <c:pt idx="422">
                  <c:v>41610</c:v>
                </c:pt>
                <c:pt idx="423">
                  <c:v>41611</c:v>
                </c:pt>
                <c:pt idx="424">
                  <c:v>41612</c:v>
                </c:pt>
                <c:pt idx="425">
                  <c:v>41613</c:v>
                </c:pt>
                <c:pt idx="426">
                  <c:v>41614</c:v>
                </c:pt>
                <c:pt idx="427">
                  <c:v>41617</c:v>
                </c:pt>
                <c:pt idx="428">
                  <c:v>41618</c:v>
                </c:pt>
                <c:pt idx="429">
                  <c:v>41619</c:v>
                </c:pt>
                <c:pt idx="430">
                  <c:v>41620</c:v>
                </c:pt>
                <c:pt idx="431">
                  <c:v>41621</c:v>
                </c:pt>
                <c:pt idx="432">
                  <c:v>41624</c:v>
                </c:pt>
                <c:pt idx="433">
                  <c:v>41625</c:v>
                </c:pt>
                <c:pt idx="434">
                  <c:v>41626</c:v>
                </c:pt>
                <c:pt idx="435">
                  <c:v>41627</c:v>
                </c:pt>
                <c:pt idx="436">
                  <c:v>41628</c:v>
                </c:pt>
                <c:pt idx="437">
                  <c:v>41631</c:v>
                </c:pt>
                <c:pt idx="438">
                  <c:v>41635</c:v>
                </c:pt>
                <c:pt idx="439">
                  <c:v>41638</c:v>
                </c:pt>
                <c:pt idx="440">
                  <c:v>41641</c:v>
                </c:pt>
                <c:pt idx="441">
                  <c:v>41642</c:v>
                </c:pt>
                <c:pt idx="442">
                  <c:v>41645</c:v>
                </c:pt>
                <c:pt idx="443">
                  <c:v>41646</c:v>
                </c:pt>
                <c:pt idx="444">
                  <c:v>41647</c:v>
                </c:pt>
                <c:pt idx="445">
                  <c:v>41648</c:v>
                </c:pt>
                <c:pt idx="446">
                  <c:v>41649</c:v>
                </c:pt>
                <c:pt idx="447">
                  <c:v>41652</c:v>
                </c:pt>
                <c:pt idx="448">
                  <c:v>41653</c:v>
                </c:pt>
                <c:pt idx="449">
                  <c:v>41654</c:v>
                </c:pt>
                <c:pt idx="450">
                  <c:v>41655</c:v>
                </c:pt>
                <c:pt idx="451">
                  <c:v>41656</c:v>
                </c:pt>
                <c:pt idx="452">
                  <c:v>41659</c:v>
                </c:pt>
                <c:pt idx="453">
                  <c:v>41660</c:v>
                </c:pt>
                <c:pt idx="454">
                  <c:v>41661</c:v>
                </c:pt>
                <c:pt idx="455">
                  <c:v>41662</c:v>
                </c:pt>
                <c:pt idx="456">
                  <c:v>41663</c:v>
                </c:pt>
                <c:pt idx="457">
                  <c:v>41666</c:v>
                </c:pt>
                <c:pt idx="458">
                  <c:v>41667</c:v>
                </c:pt>
                <c:pt idx="459">
                  <c:v>41668</c:v>
                </c:pt>
                <c:pt idx="460">
                  <c:v>41669</c:v>
                </c:pt>
                <c:pt idx="461">
                  <c:v>41670</c:v>
                </c:pt>
                <c:pt idx="462">
                  <c:v>41673</c:v>
                </c:pt>
                <c:pt idx="463">
                  <c:v>41674</c:v>
                </c:pt>
                <c:pt idx="464">
                  <c:v>41675</c:v>
                </c:pt>
                <c:pt idx="465">
                  <c:v>41676</c:v>
                </c:pt>
                <c:pt idx="466">
                  <c:v>41677</c:v>
                </c:pt>
                <c:pt idx="467">
                  <c:v>41680</c:v>
                </c:pt>
                <c:pt idx="468">
                  <c:v>41681</c:v>
                </c:pt>
                <c:pt idx="469">
                  <c:v>41682</c:v>
                </c:pt>
                <c:pt idx="470">
                  <c:v>41683</c:v>
                </c:pt>
                <c:pt idx="471">
                  <c:v>41684</c:v>
                </c:pt>
                <c:pt idx="472">
                  <c:v>41687</c:v>
                </c:pt>
                <c:pt idx="473">
                  <c:v>41688</c:v>
                </c:pt>
                <c:pt idx="474">
                  <c:v>41689</c:v>
                </c:pt>
                <c:pt idx="475">
                  <c:v>41690</c:v>
                </c:pt>
                <c:pt idx="476">
                  <c:v>41691</c:v>
                </c:pt>
                <c:pt idx="477">
                  <c:v>41694</c:v>
                </c:pt>
                <c:pt idx="478">
                  <c:v>41695</c:v>
                </c:pt>
                <c:pt idx="479">
                  <c:v>41696</c:v>
                </c:pt>
                <c:pt idx="480">
                  <c:v>41697</c:v>
                </c:pt>
                <c:pt idx="481">
                  <c:v>41698</c:v>
                </c:pt>
                <c:pt idx="482">
                  <c:v>41701</c:v>
                </c:pt>
                <c:pt idx="483">
                  <c:v>41702</c:v>
                </c:pt>
                <c:pt idx="484">
                  <c:v>41703</c:v>
                </c:pt>
                <c:pt idx="485">
                  <c:v>41704</c:v>
                </c:pt>
                <c:pt idx="486">
                  <c:v>41705</c:v>
                </c:pt>
                <c:pt idx="487">
                  <c:v>41708</c:v>
                </c:pt>
                <c:pt idx="488">
                  <c:v>41709</c:v>
                </c:pt>
                <c:pt idx="489">
                  <c:v>41710</c:v>
                </c:pt>
                <c:pt idx="490">
                  <c:v>41711</c:v>
                </c:pt>
                <c:pt idx="491">
                  <c:v>41712</c:v>
                </c:pt>
                <c:pt idx="492">
                  <c:v>41715</c:v>
                </c:pt>
                <c:pt idx="493">
                  <c:v>41716</c:v>
                </c:pt>
                <c:pt idx="494">
                  <c:v>41717</c:v>
                </c:pt>
                <c:pt idx="495">
                  <c:v>41718</c:v>
                </c:pt>
                <c:pt idx="496">
                  <c:v>41719</c:v>
                </c:pt>
                <c:pt idx="497">
                  <c:v>41722</c:v>
                </c:pt>
                <c:pt idx="498">
                  <c:v>41723</c:v>
                </c:pt>
                <c:pt idx="499">
                  <c:v>41724</c:v>
                </c:pt>
                <c:pt idx="500">
                  <c:v>41725</c:v>
                </c:pt>
                <c:pt idx="501">
                  <c:v>41726</c:v>
                </c:pt>
                <c:pt idx="502">
                  <c:v>41729</c:v>
                </c:pt>
                <c:pt idx="503">
                  <c:v>41730</c:v>
                </c:pt>
                <c:pt idx="504">
                  <c:v>41731</c:v>
                </c:pt>
                <c:pt idx="505">
                  <c:v>41732</c:v>
                </c:pt>
                <c:pt idx="506">
                  <c:v>41733</c:v>
                </c:pt>
                <c:pt idx="507">
                  <c:v>41736</c:v>
                </c:pt>
                <c:pt idx="508">
                  <c:v>41737</c:v>
                </c:pt>
                <c:pt idx="509">
                  <c:v>41738</c:v>
                </c:pt>
                <c:pt idx="510">
                  <c:v>41739</c:v>
                </c:pt>
                <c:pt idx="511">
                  <c:v>41740</c:v>
                </c:pt>
                <c:pt idx="512">
                  <c:v>41743</c:v>
                </c:pt>
                <c:pt idx="513">
                  <c:v>41744</c:v>
                </c:pt>
                <c:pt idx="514">
                  <c:v>41745</c:v>
                </c:pt>
                <c:pt idx="515">
                  <c:v>41746</c:v>
                </c:pt>
                <c:pt idx="516">
                  <c:v>41751</c:v>
                </c:pt>
                <c:pt idx="517">
                  <c:v>41752</c:v>
                </c:pt>
                <c:pt idx="518">
                  <c:v>41753</c:v>
                </c:pt>
                <c:pt idx="519">
                  <c:v>41754</c:v>
                </c:pt>
                <c:pt idx="520">
                  <c:v>41757</c:v>
                </c:pt>
                <c:pt idx="521">
                  <c:v>41758</c:v>
                </c:pt>
                <c:pt idx="522">
                  <c:v>41759</c:v>
                </c:pt>
                <c:pt idx="523">
                  <c:v>41761</c:v>
                </c:pt>
                <c:pt idx="524">
                  <c:v>41764</c:v>
                </c:pt>
                <c:pt idx="525">
                  <c:v>41765</c:v>
                </c:pt>
                <c:pt idx="526">
                  <c:v>41766</c:v>
                </c:pt>
                <c:pt idx="527">
                  <c:v>41767</c:v>
                </c:pt>
                <c:pt idx="528">
                  <c:v>41768</c:v>
                </c:pt>
                <c:pt idx="529">
                  <c:v>41771</c:v>
                </c:pt>
                <c:pt idx="530">
                  <c:v>41772</c:v>
                </c:pt>
                <c:pt idx="531">
                  <c:v>41773</c:v>
                </c:pt>
                <c:pt idx="532">
                  <c:v>41774</c:v>
                </c:pt>
                <c:pt idx="533">
                  <c:v>41775</c:v>
                </c:pt>
                <c:pt idx="534">
                  <c:v>41778</c:v>
                </c:pt>
                <c:pt idx="535">
                  <c:v>41779</c:v>
                </c:pt>
                <c:pt idx="536">
                  <c:v>41780</c:v>
                </c:pt>
                <c:pt idx="537">
                  <c:v>41781</c:v>
                </c:pt>
                <c:pt idx="538">
                  <c:v>41782</c:v>
                </c:pt>
                <c:pt idx="539">
                  <c:v>41785</c:v>
                </c:pt>
                <c:pt idx="540">
                  <c:v>41786</c:v>
                </c:pt>
                <c:pt idx="541">
                  <c:v>41787</c:v>
                </c:pt>
                <c:pt idx="542">
                  <c:v>41788</c:v>
                </c:pt>
                <c:pt idx="543">
                  <c:v>41789</c:v>
                </c:pt>
                <c:pt idx="544">
                  <c:v>41792</c:v>
                </c:pt>
                <c:pt idx="545">
                  <c:v>41793</c:v>
                </c:pt>
                <c:pt idx="546">
                  <c:v>41794</c:v>
                </c:pt>
                <c:pt idx="547">
                  <c:v>41795</c:v>
                </c:pt>
                <c:pt idx="548">
                  <c:v>41796</c:v>
                </c:pt>
                <c:pt idx="549">
                  <c:v>41799</c:v>
                </c:pt>
                <c:pt idx="550">
                  <c:v>41800</c:v>
                </c:pt>
                <c:pt idx="551">
                  <c:v>41801</c:v>
                </c:pt>
                <c:pt idx="552">
                  <c:v>41802</c:v>
                </c:pt>
                <c:pt idx="553">
                  <c:v>41803</c:v>
                </c:pt>
                <c:pt idx="554">
                  <c:v>41806</c:v>
                </c:pt>
                <c:pt idx="555">
                  <c:v>41807</c:v>
                </c:pt>
                <c:pt idx="556">
                  <c:v>41808</c:v>
                </c:pt>
                <c:pt idx="557">
                  <c:v>41809</c:v>
                </c:pt>
                <c:pt idx="558">
                  <c:v>41810</c:v>
                </c:pt>
                <c:pt idx="559">
                  <c:v>41813</c:v>
                </c:pt>
                <c:pt idx="560">
                  <c:v>41814</c:v>
                </c:pt>
                <c:pt idx="561">
                  <c:v>41815</c:v>
                </c:pt>
                <c:pt idx="562">
                  <c:v>41816</c:v>
                </c:pt>
                <c:pt idx="563">
                  <c:v>41817</c:v>
                </c:pt>
                <c:pt idx="564">
                  <c:v>41820</c:v>
                </c:pt>
                <c:pt idx="565">
                  <c:v>41821</c:v>
                </c:pt>
                <c:pt idx="566">
                  <c:v>41822</c:v>
                </c:pt>
                <c:pt idx="567">
                  <c:v>41823</c:v>
                </c:pt>
                <c:pt idx="568">
                  <c:v>41824</c:v>
                </c:pt>
                <c:pt idx="569">
                  <c:v>41827</c:v>
                </c:pt>
                <c:pt idx="570">
                  <c:v>41828</c:v>
                </c:pt>
                <c:pt idx="571">
                  <c:v>41829</c:v>
                </c:pt>
                <c:pt idx="572">
                  <c:v>41830</c:v>
                </c:pt>
                <c:pt idx="573">
                  <c:v>41831</c:v>
                </c:pt>
                <c:pt idx="574">
                  <c:v>41834</c:v>
                </c:pt>
                <c:pt idx="575">
                  <c:v>41835</c:v>
                </c:pt>
                <c:pt idx="576">
                  <c:v>41836</c:v>
                </c:pt>
                <c:pt idx="577">
                  <c:v>41837</c:v>
                </c:pt>
                <c:pt idx="578">
                  <c:v>41838</c:v>
                </c:pt>
                <c:pt idx="579">
                  <c:v>41841</c:v>
                </c:pt>
                <c:pt idx="580">
                  <c:v>41842</c:v>
                </c:pt>
                <c:pt idx="581">
                  <c:v>41843</c:v>
                </c:pt>
                <c:pt idx="582">
                  <c:v>41844</c:v>
                </c:pt>
                <c:pt idx="583">
                  <c:v>41845</c:v>
                </c:pt>
                <c:pt idx="584">
                  <c:v>41848</c:v>
                </c:pt>
                <c:pt idx="585">
                  <c:v>41849</c:v>
                </c:pt>
                <c:pt idx="586">
                  <c:v>41850</c:v>
                </c:pt>
                <c:pt idx="587">
                  <c:v>41851</c:v>
                </c:pt>
                <c:pt idx="588">
                  <c:v>41852</c:v>
                </c:pt>
                <c:pt idx="589">
                  <c:v>41855</c:v>
                </c:pt>
                <c:pt idx="590">
                  <c:v>41856</c:v>
                </c:pt>
                <c:pt idx="591">
                  <c:v>41857</c:v>
                </c:pt>
                <c:pt idx="592">
                  <c:v>41858</c:v>
                </c:pt>
                <c:pt idx="593">
                  <c:v>41859</c:v>
                </c:pt>
                <c:pt idx="594">
                  <c:v>41862</c:v>
                </c:pt>
                <c:pt idx="595">
                  <c:v>41863</c:v>
                </c:pt>
                <c:pt idx="596">
                  <c:v>41864</c:v>
                </c:pt>
                <c:pt idx="597">
                  <c:v>41865</c:v>
                </c:pt>
                <c:pt idx="598">
                  <c:v>41869</c:v>
                </c:pt>
                <c:pt idx="599">
                  <c:v>41870</c:v>
                </c:pt>
                <c:pt idx="600">
                  <c:v>41871</c:v>
                </c:pt>
                <c:pt idx="601">
                  <c:v>41872</c:v>
                </c:pt>
                <c:pt idx="602">
                  <c:v>41873</c:v>
                </c:pt>
                <c:pt idx="603">
                  <c:v>41876</c:v>
                </c:pt>
                <c:pt idx="604">
                  <c:v>41877</c:v>
                </c:pt>
                <c:pt idx="605">
                  <c:v>41878</c:v>
                </c:pt>
                <c:pt idx="606">
                  <c:v>41879</c:v>
                </c:pt>
                <c:pt idx="607">
                  <c:v>41880</c:v>
                </c:pt>
                <c:pt idx="608">
                  <c:v>41883</c:v>
                </c:pt>
                <c:pt idx="609">
                  <c:v>41884</c:v>
                </c:pt>
                <c:pt idx="610">
                  <c:v>41885</c:v>
                </c:pt>
                <c:pt idx="611">
                  <c:v>41886</c:v>
                </c:pt>
                <c:pt idx="612">
                  <c:v>41887</c:v>
                </c:pt>
                <c:pt idx="613">
                  <c:v>41890</c:v>
                </c:pt>
                <c:pt idx="614">
                  <c:v>41891</c:v>
                </c:pt>
                <c:pt idx="615">
                  <c:v>41892</c:v>
                </c:pt>
                <c:pt idx="616">
                  <c:v>41893</c:v>
                </c:pt>
                <c:pt idx="617">
                  <c:v>41894</c:v>
                </c:pt>
                <c:pt idx="618">
                  <c:v>41897</c:v>
                </c:pt>
                <c:pt idx="619">
                  <c:v>41898</c:v>
                </c:pt>
                <c:pt idx="620">
                  <c:v>41899</c:v>
                </c:pt>
                <c:pt idx="621">
                  <c:v>41900</c:v>
                </c:pt>
                <c:pt idx="622">
                  <c:v>41901</c:v>
                </c:pt>
                <c:pt idx="623">
                  <c:v>41904</c:v>
                </c:pt>
                <c:pt idx="624">
                  <c:v>41905</c:v>
                </c:pt>
                <c:pt idx="625">
                  <c:v>41906</c:v>
                </c:pt>
                <c:pt idx="626">
                  <c:v>41907</c:v>
                </c:pt>
                <c:pt idx="627">
                  <c:v>41908</c:v>
                </c:pt>
                <c:pt idx="628">
                  <c:v>41911</c:v>
                </c:pt>
                <c:pt idx="629">
                  <c:v>41912</c:v>
                </c:pt>
                <c:pt idx="630">
                  <c:v>41913</c:v>
                </c:pt>
                <c:pt idx="631">
                  <c:v>41914</c:v>
                </c:pt>
                <c:pt idx="632">
                  <c:v>41915</c:v>
                </c:pt>
                <c:pt idx="633">
                  <c:v>41918</c:v>
                </c:pt>
                <c:pt idx="634">
                  <c:v>41919</c:v>
                </c:pt>
                <c:pt idx="635">
                  <c:v>41920</c:v>
                </c:pt>
                <c:pt idx="636">
                  <c:v>41921</c:v>
                </c:pt>
                <c:pt idx="637">
                  <c:v>41922</c:v>
                </c:pt>
                <c:pt idx="638">
                  <c:v>41925</c:v>
                </c:pt>
                <c:pt idx="639">
                  <c:v>41926</c:v>
                </c:pt>
                <c:pt idx="640">
                  <c:v>41927</c:v>
                </c:pt>
                <c:pt idx="641">
                  <c:v>41928</c:v>
                </c:pt>
                <c:pt idx="642">
                  <c:v>41929</c:v>
                </c:pt>
                <c:pt idx="643">
                  <c:v>41932</c:v>
                </c:pt>
                <c:pt idx="644">
                  <c:v>41933</c:v>
                </c:pt>
                <c:pt idx="645">
                  <c:v>41934</c:v>
                </c:pt>
                <c:pt idx="646">
                  <c:v>41935</c:v>
                </c:pt>
                <c:pt idx="647">
                  <c:v>41936</c:v>
                </c:pt>
                <c:pt idx="648">
                  <c:v>41939</c:v>
                </c:pt>
                <c:pt idx="649">
                  <c:v>41940</c:v>
                </c:pt>
                <c:pt idx="650">
                  <c:v>41941</c:v>
                </c:pt>
                <c:pt idx="651">
                  <c:v>41942</c:v>
                </c:pt>
                <c:pt idx="652">
                  <c:v>41943</c:v>
                </c:pt>
                <c:pt idx="653">
                  <c:v>41946</c:v>
                </c:pt>
                <c:pt idx="654">
                  <c:v>41947</c:v>
                </c:pt>
                <c:pt idx="655">
                  <c:v>41948</c:v>
                </c:pt>
                <c:pt idx="656">
                  <c:v>41949</c:v>
                </c:pt>
                <c:pt idx="657">
                  <c:v>41950</c:v>
                </c:pt>
                <c:pt idx="658">
                  <c:v>41953</c:v>
                </c:pt>
                <c:pt idx="659">
                  <c:v>41954</c:v>
                </c:pt>
                <c:pt idx="660">
                  <c:v>41955</c:v>
                </c:pt>
                <c:pt idx="661">
                  <c:v>41956</c:v>
                </c:pt>
                <c:pt idx="662">
                  <c:v>41957</c:v>
                </c:pt>
                <c:pt idx="663">
                  <c:v>41960</c:v>
                </c:pt>
                <c:pt idx="664">
                  <c:v>41961</c:v>
                </c:pt>
                <c:pt idx="665">
                  <c:v>41962</c:v>
                </c:pt>
                <c:pt idx="666">
                  <c:v>41963</c:v>
                </c:pt>
                <c:pt idx="667">
                  <c:v>41964</c:v>
                </c:pt>
                <c:pt idx="668">
                  <c:v>41967</c:v>
                </c:pt>
                <c:pt idx="669">
                  <c:v>41968</c:v>
                </c:pt>
                <c:pt idx="670">
                  <c:v>41969</c:v>
                </c:pt>
                <c:pt idx="671">
                  <c:v>41970</c:v>
                </c:pt>
                <c:pt idx="672">
                  <c:v>41971</c:v>
                </c:pt>
                <c:pt idx="673">
                  <c:v>41974</c:v>
                </c:pt>
                <c:pt idx="674">
                  <c:v>41975</c:v>
                </c:pt>
                <c:pt idx="675">
                  <c:v>41976</c:v>
                </c:pt>
                <c:pt idx="676">
                  <c:v>41977</c:v>
                </c:pt>
                <c:pt idx="677">
                  <c:v>41978</c:v>
                </c:pt>
                <c:pt idx="678">
                  <c:v>41981</c:v>
                </c:pt>
                <c:pt idx="679">
                  <c:v>41982</c:v>
                </c:pt>
                <c:pt idx="680">
                  <c:v>41983</c:v>
                </c:pt>
                <c:pt idx="681">
                  <c:v>41984</c:v>
                </c:pt>
                <c:pt idx="682">
                  <c:v>41985</c:v>
                </c:pt>
                <c:pt idx="683">
                  <c:v>41988</c:v>
                </c:pt>
                <c:pt idx="684">
                  <c:v>41989</c:v>
                </c:pt>
                <c:pt idx="685">
                  <c:v>41990</c:v>
                </c:pt>
                <c:pt idx="686">
                  <c:v>41991</c:v>
                </c:pt>
                <c:pt idx="687">
                  <c:v>41992</c:v>
                </c:pt>
                <c:pt idx="688">
                  <c:v>41995</c:v>
                </c:pt>
                <c:pt idx="689">
                  <c:v>41996</c:v>
                </c:pt>
                <c:pt idx="690">
                  <c:v>42002</c:v>
                </c:pt>
                <c:pt idx="691">
                  <c:v>42003</c:v>
                </c:pt>
                <c:pt idx="692">
                  <c:v>42006</c:v>
                </c:pt>
                <c:pt idx="693">
                  <c:v>42009</c:v>
                </c:pt>
                <c:pt idx="694">
                  <c:v>42010</c:v>
                </c:pt>
                <c:pt idx="695">
                  <c:v>42011</c:v>
                </c:pt>
                <c:pt idx="696">
                  <c:v>42012</c:v>
                </c:pt>
                <c:pt idx="697">
                  <c:v>42013</c:v>
                </c:pt>
                <c:pt idx="698">
                  <c:v>42016</c:v>
                </c:pt>
                <c:pt idx="699">
                  <c:v>42017</c:v>
                </c:pt>
                <c:pt idx="700">
                  <c:v>42018</c:v>
                </c:pt>
                <c:pt idx="701">
                  <c:v>42019</c:v>
                </c:pt>
                <c:pt idx="702">
                  <c:v>42020</c:v>
                </c:pt>
                <c:pt idx="703">
                  <c:v>42023</c:v>
                </c:pt>
                <c:pt idx="704">
                  <c:v>42024</c:v>
                </c:pt>
                <c:pt idx="705">
                  <c:v>42025</c:v>
                </c:pt>
                <c:pt idx="706">
                  <c:v>42026</c:v>
                </c:pt>
                <c:pt idx="707">
                  <c:v>42027</c:v>
                </c:pt>
                <c:pt idx="708">
                  <c:v>42030</c:v>
                </c:pt>
                <c:pt idx="709">
                  <c:v>42031</c:v>
                </c:pt>
                <c:pt idx="710">
                  <c:v>42032</c:v>
                </c:pt>
                <c:pt idx="711">
                  <c:v>42033</c:v>
                </c:pt>
                <c:pt idx="712">
                  <c:v>42034</c:v>
                </c:pt>
                <c:pt idx="713">
                  <c:v>42037</c:v>
                </c:pt>
                <c:pt idx="714">
                  <c:v>42038</c:v>
                </c:pt>
                <c:pt idx="715">
                  <c:v>42039</c:v>
                </c:pt>
                <c:pt idx="716">
                  <c:v>42040</c:v>
                </c:pt>
                <c:pt idx="717">
                  <c:v>42041</c:v>
                </c:pt>
                <c:pt idx="718">
                  <c:v>42044</c:v>
                </c:pt>
                <c:pt idx="719">
                  <c:v>42045</c:v>
                </c:pt>
                <c:pt idx="720">
                  <c:v>42046</c:v>
                </c:pt>
                <c:pt idx="721">
                  <c:v>42047</c:v>
                </c:pt>
                <c:pt idx="722">
                  <c:v>42048</c:v>
                </c:pt>
                <c:pt idx="723">
                  <c:v>42051</c:v>
                </c:pt>
                <c:pt idx="724">
                  <c:v>42052</c:v>
                </c:pt>
                <c:pt idx="725">
                  <c:v>42053</c:v>
                </c:pt>
                <c:pt idx="726">
                  <c:v>42054</c:v>
                </c:pt>
                <c:pt idx="727">
                  <c:v>42055</c:v>
                </c:pt>
                <c:pt idx="728">
                  <c:v>42058</c:v>
                </c:pt>
                <c:pt idx="729">
                  <c:v>42059</c:v>
                </c:pt>
                <c:pt idx="730">
                  <c:v>42060</c:v>
                </c:pt>
                <c:pt idx="731">
                  <c:v>42061</c:v>
                </c:pt>
                <c:pt idx="732">
                  <c:v>42062</c:v>
                </c:pt>
                <c:pt idx="733">
                  <c:v>42065</c:v>
                </c:pt>
                <c:pt idx="734">
                  <c:v>42066</c:v>
                </c:pt>
                <c:pt idx="735">
                  <c:v>42067</c:v>
                </c:pt>
                <c:pt idx="736">
                  <c:v>42068</c:v>
                </c:pt>
                <c:pt idx="737">
                  <c:v>42069</c:v>
                </c:pt>
                <c:pt idx="738">
                  <c:v>42072</c:v>
                </c:pt>
                <c:pt idx="739">
                  <c:v>42073</c:v>
                </c:pt>
                <c:pt idx="740">
                  <c:v>42074</c:v>
                </c:pt>
                <c:pt idx="741">
                  <c:v>42075</c:v>
                </c:pt>
                <c:pt idx="742">
                  <c:v>42076</c:v>
                </c:pt>
                <c:pt idx="743">
                  <c:v>42079</c:v>
                </c:pt>
                <c:pt idx="744">
                  <c:v>42080</c:v>
                </c:pt>
                <c:pt idx="745">
                  <c:v>42081</c:v>
                </c:pt>
                <c:pt idx="746">
                  <c:v>42082</c:v>
                </c:pt>
                <c:pt idx="747">
                  <c:v>42083</c:v>
                </c:pt>
                <c:pt idx="748">
                  <c:v>42086</c:v>
                </c:pt>
                <c:pt idx="749">
                  <c:v>42087</c:v>
                </c:pt>
                <c:pt idx="750">
                  <c:v>42088</c:v>
                </c:pt>
                <c:pt idx="751">
                  <c:v>42089</c:v>
                </c:pt>
                <c:pt idx="752">
                  <c:v>42090</c:v>
                </c:pt>
                <c:pt idx="753">
                  <c:v>42093</c:v>
                </c:pt>
                <c:pt idx="754">
                  <c:v>42094</c:v>
                </c:pt>
                <c:pt idx="755">
                  <c:v>42095</c:v>
                </c:pt>
                <c:pt idx="756">
                  <c:v>42096</c:v>
                </c:pt>
                <c:pt idx="757">
                  <c:v>42101</c:v>
                </c:pt>
                <c:pt idx="758">
                  <c:v>42102</c:v>
                </c:pt>
                <c:pt idx="759">
                  <c:v>42103</c:v>
                </c:pt>
                <c:pt idx="760">
                  <c:v>42104</c:v>
                </c:pt>
                <c:pt idx="761">
                  <c:v>42107</c:v>
                </c:pt>
                <c:pt idx="762">
                  <c:v>42108</c:v>
                </c:pt>
                <c:pt idx="763">
                  <c:v>42109</c:v>
                </c:pt>
                <c:pt idx="764">
                  <c:v>42110</c:v>
                </c:pt>
                <c:pt idx="765">
                  <c:v>42111</c:v>
                </c:pt>
                <c:pt idx="766">
                  <c:v>42114</c:v>
                </c:pt>
                <c:pt idx="767">
                  <c:v>42115</c:v>
                </c:pt>
                <c:pt idx="768">
                  <c:v>42116</c:v>
                </c:pt>
                <c:pt idx="769">
                  <c:v>42117</c:v>
                </c:pt>
                <c:pt idx="770">
                  <c:v>42118</c:v>
                </c:pt>
                <c:pt idx="771">
                  <c:v>42121</c:v>
                </c:pt>
                <c:pt idx="772">
                  <c:v>42122</c:v>
                </c:pt>
                <c:pt idx="773">
                  <c:v>42123</c:v>
                </c:pt>
                <c:pt idx="774">
                  <c:v>42124</c:v>
                </c:pt>
                <c:pt idx="775">
                  <c:v>42128</c:v>
                </c:pt>
                <c:pt idx="776">
                  <c:v>42129</c:v>
                </c:pt>
                <c:pt idx="777">
                  <c:v>42130</c:v>
                </c:pt>
                <c:pt idx="778">
                  <c:v>42131</c:v>
                </c:pt>
                <c:pt idx="779">
                  <c:v>42132</c:v>
                </c:pt>
                <c:pt idx="780">
                  <c:v>42135</c:v>
                </c:pt>
                <c:pt idx="781">
                  <c:v>42136</c:v>
                </c:pt>
                <c:pt idx="782">
                  <c:v>42137</c:v>
                </c:pt>
                <c:pt idx="783">
                  <c:v>42138</c:v>
                </c:pt>
                <c:pt idx="784">
                  <c:v>42139</c:v>
                </c:pt>
                <c:pt idx="785">
                  <c:v>42142</c:v>
                </c:pt>
                <c:pt idx="786">
                  <c:v>42143</c:v>
                </c:pt>
                <c:pt idx="787">
                  <c:v>42144</c:v>
                </c:pt>
                <c:pt idx="788">
                  <c:v>42145</c:v>
                </c:pt>
                <c:pt idx="789">
                  <c:v>42146</c:v>
                </c:pt>
                <c:pt idx="790">
                  <c:v>42149</c:v>
                </c:pt>
                <c:pt idx="791">
                  <c:v>42150</c:v>
                </c:pt>
                <c:pt idx="792">
                  <c:v>42151</c:v>
                </c:pt>
                <c:pt idx="793">
                  <c:v>42152</c:v>
                </c:pt>
                <c:pt idx="794">
                  <c:v>42153</c:v>
                </c:pt>
                <c:pt idx="795">
                  <c:v>42156</c:v>
                </c:pt>
                <c:pt idx="796">
                  <c:v>42157</c:v>
                </c:pt>
                <c:pt idx="797">
                  <c:v>42158</c:v>
                </c:pt>
                <c:pt idx="798">
                  <c:v>42159</c:v>
                </c:pt>
                <c:pt idx="799">
                  <c:v>42160</c:v>
                </c:pt>
                <c:pt idx="800">
                  <c:v>42163</c:v>
                </c:pt>
                <c:pt idx="801">
                  <c:v>42164</c:v>
                </c:pt>
                <c:pt idx="802">
                  <c:v>42165</c:v>
                </c:pt>
                <c:pt idx="803">
                  <c:v>42166</c:v>
                </c:pt>
                <c:pt idx="804">
                  <c:v>42167</c:v>
                </c:pt>
                <c:pt idx="805">
                  <c:v>42170</c:v>
                </c:pt>
                <c:pt idx="806">
                  <c:v>42171</c:v>
                </c:pt>
                <c:pt idx="807">
                  <c:v>42172</c:v>
                </c:pt>
                <c:pt idx="808">
                  <c:v>42173</c:v>
                </c:pt>
                <c:pt idx="809">
                  <c:v>42174</c:v>
                </c:pt>
                <c:pt idx="810">
                  <c:v>42177</c:v>
                </c:pt>
                <c:pt idx="811">
                  <c:v>42178</c:v>
                </c:pt>
                <c:pt idx="812">
                  <c:v>42179</c:v>
                </c:pt>
                <c:pt idx="813">
                  <c:v>42180</c:v>
                </c:pt>
                <c:pt idx="814">
                  <c:v>42181</c:v>
                </c:pt>
                <c:pt idx="815">
                  <c:v>42184</c:v>
                </c:pt>
                <c:pt idx="816">
                  <c:v>42185</c:v>
                </c:pt>
                <c:pt idx="817">
                  <c:v>42186</c:v>
                </c:pt>
                <c:pt idx="818">
                  <c:v>42187</c:v>
                </c:pt>
                <c:pt idx="819">
                  <c:v>42188</c:v>
                </c:pt>
                <c:pt idx="820">
                  <c:v>42191</c:v>
                </c:pt>
                <c:pt idx="821">
                  <c:v>42192</c:v>
                </c:pt>
                <c:pt idx="822">
                  <c:v>42193</c:v>
                </c:pt>
                <c:pt idx="823">
                  <c:v>42194</c:v>
                </c:pt>
                <c:pt idx="824">
                  <c:v>42195</c:v>
                </c:pt>
                <c:pt idx="825">
                  <c:v>42198</c:v>
                </c:pt>
                <c:pt idx="826">
                  <c:v>42199</c:v>
                </c:pt>
                <c:pt idx="827">
                  <c:v>42200</c:v>
                </c:pt>
                <c:pt idx="828">
                  <c:v>42201</c:v>
                </c:pt>
                <c:pt idx="829">
                  <c:v>42202</c:v>
                </c:pt>
                <c:pt idx="830">
                  <c:v>42205</c:v>
                </c:pt>
                <c:pt idx="831">
                  <c:v>42206</c:v>
                </c:pt>
                <c:pt idx="832">
                  <c:v>42207</c:v>
                </c:pt>
                <c:pt idx="833">
                  <c:v>42208</c:v>
                </c:pt>
                <c:pt idx="834">
                  <c:v>42209</c:v>
                </c:pt>
                <c:pt idx="835">
                  <c:v>42212</c:v>
                </c:pt>
                <c:pt idx="836">
                  <c:v>42213</c:v>
                </c:pt>
                <c:pt idx="837">
                  <c:v>42214</c:v>
                </c:pt>
                <c:pt idx="838">
                  <c:v>42215</c:v>
                </c:pt>
                <c:pt idx="839">
                  <c:v>42216</c:v>
                </c:pt>
                <c:pt idx="840">
                  <c:v>42219</c:v>
                </c:pt>
                <c:pt idx="841">
                  <c:v>42220</c:v>
                </c:pt>
                <c:pt idx="842">
                  <c:v>42221</c:v>
                </c:pt>
                <c:pt idx="843">
                  <c:v>42222</c:v>
                </c:pt>
                <c:pt idx="844">
                  <c:v>42223</c:v>
                </c:pt>
                <c:pt idx="845">
                  <c:v>42226</c:v>
                </c:pt>
                <c:pt idx="846">
                  <c:v>42227</c:v>
                </c:pt>
                <c:pt idx="847">
                  <c:v>42228</c:v>
                </c:pt>
                <c:pt idx="848">
                  <c:v>42229</c:v>
                </c:pt>
                <c:pt idx="849">
                  <c:v>42230</c:v>
                </c:pt>
                <c:pt idx="850">
                  <c:v>42233</c:v>
                </c:pt>
                <c:pt idx="851">
                  <c:v>42234</c:v>
                </c:pt>
                <c:pt idx="852">
                  <c:v>42235</c:v>
                </c:pt>
                <c:pt idx="853">
                  <c:v>42236</c:v>
                </c:pt>
                <c:pt idx="854">
                  <c:v>42237</c:v>
                </c:pt>
                <c:pt idx="855">
                  <c:v>42240</c:v>
                </c:pt>
                <c:pt idx="856">
                  <c:v>42241</c:v>
                </c:pt>
                <c:pt idx="857">
                  <c:v>42242</c:v>
                </c:pt>
                <c:pt idx="858">
                  <c:v>42243</c:v>
                </c:pt>
                <c:pt idx="859">
                  <c:v>42244</c:v>
                </c:pt>
                <c:pt idx="860">
                  <c:v>42247</c:v>
                </c:pt>
                <c:pt idx="861">
                  <c:v>42248</c:v>
                </c:pt>
                <c:pt idx="862">
                  <c:v>42249</c:v>
                </c:pt>
                <c:pt idx="863">
                  <c:v>42250</c:v>
                </c:pt>
                <c:pt idx="864">
                  <c:v>42251</c:v>
                </c:pt>
                <c:pt idx="865">
                  <c:v>42254</c:v>
                </c:pt>
                <c:pt idx="866">
                  <c:v>42255</c:v>
                </c:pt>
                <c:pt idx="867">
                  <c:v>42256</c:v>
                </c:pt>
                <c:pt idx="868">
                  <c:v>42257</c:v>
                </c:pt>
                <c:pt idx="869">
                  <c:v>42258</c:v>
                </c:pt>
                <c:pt idx="870">
                  <c:v>42261</c:v>
                </c:pt>
                <c:pt idx="871">
                  <c:v>42262</c:v>
                </c:pt>
                <c:pt idx="872">
                  <c:v>42263</c:v>
                </c:pt>
                <c:pt idx="873">
                  <c:v>42264</c:v>
                </c:pt>
                <c:pt idx="874">
                  <c:v>42265</c:v>
                </c:pt>
                <c:pt idx="875">
                  <c:v>42268</c:v>
                </c:pt>
                <c:pt idx="876">
                  <c:v>42269</c:v>
                </c:pt>
                <c:pt idx="877">
                  <c:v>42270</c:v>
                </c:pt>
                <c:pt idx="878">
                  <c:v>42271</c:v>
                </c:pt>
                <c:pt idx="879">
                  <c:v>42272</c:v>
                </c:pt>
                <c:pt idx="880">
                  <c:v>42275</c:v>
                </c:pt>
                <c:pt idx="881">
                  <c:v>42276</c:v>
                </c:pt>
                <c:pt idx="882">
                  <c:v>42277</c:v>
                </c:pt>
                <c:pt idx="883">
                  <c:v>42278</c:v>
                </c:pt>
                <c:pt idx="884">
                  <c:v>42279</c:v>
                </c:pt>
                <c:pt idx="885">
                  <c:v>42282</c:v>
                </c:pt>
                <c:pt idx="886">
                  <c:v>42283</c:v>
                </c:pt>
                <c:pt idx="887">
                  <c:v>42284</c:v>
                </c:pt>
                <c:pt idx="888">
                  <c:v>42285</c:v>
                </c:pt>
                <c:pt idx="889">
                  <c:v>42286</c:v>
                </c:pt>
                <c:pt idx="890">
                  <c:v>42289</c:v>
                </c:pt>
                <c:pt idx="891">
                  <c:v>42290</c:v>
                </c:pt>
                <c:pt idx="892">
                  <c:v>42291</c:v>
                </c:pt>
                <c:pt idx="893">
                  <c:v>42292</c:v>
                </c:pt>
                <c:pt idx="894">
                  <c:v>42293</c:v>
                </c:pt>
                <c:pt idx="895">
                  <c:v>42296</c:v>
                </c:pt>
                <c:pt idx="896">
                  <c:v>42297</c:v>
                </c:pt>
                <c:pt idx="897">
                  <c:v>42298</c:v>
                </c:pt>
                <c:pt idx="898">
                  <c:v>42299</c:v>
                </c:pt>
                <c:pt idx="899">
                  <c:v>42300</c:v>
                </c:pt>
                <c:pt idx="900">
                  <c:v>42303</c:v>
                </c:pt>
                <c:pt idx="901">
                  <c:v>42304</c:v>
                </c:pt>
                <c:pt idx="902">
                  <c:v>42305</c:v>
                </c:pt>
                <c:pt idx="903">
                  <c:v>42306</c:v>
                </c:pt>
                <c:pt idx="904">
                  <c:v>42307</c:v>
                </c:pt>
                <c:pt idx="905">
                  <c:v>42310</c:v>
                </c:pt>
                <c:pt idx="906">
                  <c:v>42311</c:v>
                </c:pt>
                <c:pt idx="907">
                  <c:v>42312</c:v>
                </c:pt>
                <c:pt idx="908">
                  <c:v>42313</c:v>
                </c:pt>
                <c:pt idx="909">
                  <c:v>42314</c:v>
                </c:pt>
                <c:pt idx="910">
                  <c:v>42317</c:v>
                </c:pt>
                <c:pt idx="911">
                  <c:v>42318</c:v>
                </c:pt>
                <c:pt idx="912">
                  <c:v>42319</c:v>
                </c:pt>
                <c:pt idx="913">
                  <c:v>42320</c:v>
                </c:pt>
                <c:pt idx="914">
                  <c:v>42321</c:v>
                </c:pt>
                <c:pt idx="915">
                  <c:v>42324</c:v>
                </c:pt>
                <c:pt idx="916">
                  <c:v>42325</c:v>
                </c:pt>
                <c:pt idx="917">
                  <c:v>42326</c:v>
                </c:pt>
                <c:pt idx="918">
                  <c:v>42327</c:v>
                </c:pt>
                <c:pt idx="919">
                  <c:v>42328</c:v>
                </c:pt>
                <c:pt idx="920">
                  <c:v>42331</c:v>
                </c:pt>
                <c:pt idx="921">
                  <c:v>42332</c:v>
                </c:pt>
                <c:pt idx="922">
                  <c:v>42333</c:v>
                </c:pt>
                <c:pt idx="923">
                  <c:v>42334</c:v>
                </c:pt>
                <c:pt idx="924">
                  <c:v>42335</c:v>
                </c:pt>
                <c:pt idx="925">
                  <c:v>42338</c:v>
                </c:pt>
                <c:pt idx="926">
                  <c:v>42339</c:v>
                </c:pt>
                <c:pt idx="927">
                  <c:v>42340</c:v>
                </c:pt>
                <c:pt idx="928">
                  <c:v>42341</c:v>
                </c:pt>
                <c:pt idx="929">
                  <c:v>42342</c:v>
                </c:pt>
                <c:pt idx="930">
                  <c:v>42345</c:v>
                </c:pt>
                <c:pt idx="931">
                  <c:v>42346</c:v>
                </c:pt>
                <c:pt idx="932">
                  <c:v>42347</c:v>
                </c:pt>
                <c:pt idx="933">
                  <c:v>42348</c:v>
                </c:pt>
                <c:pt idx="934">
                  <c:v>42349</c:v>
                </c:pt>
                <c:pt idx="935">
                  <c:v>42352</c:v>
                </c:pt>
                <c:pt idx="936">
                  <c:v>42353</c:v>
                </c:pt>
                <c:pt idx="937">
                  <c:v>42354</c:v>
                </c:pt>
                <c:pt idx="938">
                  <c:v>42355</c:v>
                </c:pt>
                <c:pt idx="939">
                  <c:v>42356</c:v>
                </c:pt>
                <c:pt idx="940">
                  <c:v>42359</c:v>
                </c:pt>
                <c:pt idx="941">
                  <c:v>42360</c:v>
                </c:pt>
                <c:pt idx="942">
                  <c:v>42361</c:v>
                </c:pt>
                <c:pt idx="943">
                  <c:v>42366</c:v>
                </c:pt>
                <c:pt idx="944">
                  <c:v>42367</c:v>
                </c:pt>
                <c:pt idx="945">
                  <c:v>42368</c:v>
                </c:pt>
                <c:pt idx="946">
                  <c:v>42369</c:v>
                </c:pt>
                <c:pt idx="947">
                  <c:v>42373</c:v>
                </c:pt>
                <c:pt idx="948">
                  <c:v>42374</c:v>
                </c:pt>
                <c:pt idx="949">
                  <c:v>42375</c:v>
                </c:pt>
                <c:pt idx="950">
                  <c:v>42376</c:v>
                </c:pt>
                <c:pt idx="951">
                  <c:v>42377</c:v>
                </c:pt>
                <c:pt idx="952">
                  <c:v>42380</c:v>
                </c:pt>
                <c:pt idx="953">
                  <c:v>42381</c:v>
                </c:pt>
                <c:pt idx="954">
                  <c:v>42382</c:v>
                </c:pt>
                <c:pt idx="955">
                  <c:v>42383</c:v>
                </c:pt>
                <c:pt idx="956">
                  <c:v>42384</c:v>
                </c:pt>
                <c:pt idx="957">
                  <c:v>42387</c:v>
                </c:pt>
                <c:pt idx="958">
                  <c:v>42388</c:v>
                </c:pt>
                <c:pt idx="959">
                  <c:v>42389</c:v>
                </c:pt>
                <c:pt idx="960">
                  <c:v>42390</c:v>
                </c:pt>
                <c:pt idx="961">
                  <c:v>42391</c:v>
                </c:pt>
                <c:pt idx="962">
                  <c:v>42394</c:v>
                </c:pt>
                <c:pt idx="963">
                  <c:v>42395</c:v>
                </c:pt>
                <c:pt idx="964">
                  <c:v>42396</c:v>
                </c:pt>
                <c:pt idx="965">
                  <c:v>42397</c:v>
                </c:pt>
                <c:pt idx="966">
                  <c:v>42398</c:v>
                </c:pt>
                <c:pt idx="967">
                  <c:v>42401</c:v>
                </c:pt>
                <c:pt idx="968">
                  <c:v>42402</c:v>
                </c:pt>
                <c:pt idx="969">
                  <c:v>42403</c:v>
                </c:pt>
                <c:pt idx="970">
                  <c:v>42404</c:v>
                </c:pt>
                <c:pt idx="971">
                  <c:v>42405</c:v>
                </c:pt>
                <c:pt idx="972">
                  <c:v>42408</c:v>
                </c:pt>
                <c:pt idx="973">
                  <c:v>42409</c:v>
                </c:pt>
                <c:pt idx="974">
                  <c:v>42410</c:v>
                </c:pt>
                <c:pt idx="975">
                  <c:v>42411</c:v>
                </c:pt>
                <c:pt idx="976">
                  <c:v>42412</c:v>
                </c:pt>
                <c:pt idx="977">
                  <c:v>42415</c:v>
                </c:pt>
                <c:pt idx="978">
                  <c:v>42416</c:v>
                </c:pt>
                <c:pt idx="979">
                  <c:v>42417</c:v>
                </c:pt>
                <c:pt idx="980">
                  <c:v>42418</c:v>
                </c:pt>
                <c:pt idx="981">
                  <c:v>42419</c:v>
                </c:pt>
                <c:pt idx="982">
                  <c:v>42422</c:v>
                </c:pt>
                <c:pt idx="983">
                  <c:v>42423</c:v>
                </c:pt>
                <c:pt idx="984">
                  <c:v>42424</c:v>
                </c:pt>
                <c:pt idx="985">
                  <c:v>42425</c:v>
                </c:pt>
                <c:pt idx="986">
                  <c:v>42426</c:v>
                </c:pt>
                <c:pt idx="987">
                  <c:v>42429</c:v>
                </c:pt>
                <c:pt idx="988">
                  <c:v>42430</c:v>
                </c:pt>
                <c:pt idx="989">
                  <c:v>42431</c:v>
                </c:pt>
                <c:pt idx="990">
                  <c:v>42432</c:v>
                </c:pt>
                <c:pt idx="991">
                  <c:v>42433</c:v>
                </c:pt>
                <c:pt idx="992">
                  <c:v>42436</c:v>
                </c:pt>
                <c:pt idx="993">
                  <c:v>42437</c:v>
                </c:pt>
                <c:pt idx="994">
                  <c:v>42438</c:v>
                </c:pt>
                <c:pt idx="995">
                  <c:v>42439</c:v>
                </c:pt>
                <c:pt idx="996">
                  <c:v>42440</c:v>
                </c:pt>
                <c:pt idx="997">
                  <c:v>42443</c:v>
                </c:pt>
                <c:pt idx="998">
                  <c:v>42444</c:v>
                </c:pt>
                <c:pt idx="999">
                  <c:v>42445</c:v>
                </c:pt>
                <c:pt idx="1000">
                  <c:v>42446</c:v>
                </c:pt>
                <c:pt idx="1001">
                  <c:v>42447</c:v>
                </c:pt>
                <c:pt idx="1002">
                  <c:v>42450</c:v>
                </c:pt>
                <c:pt idx="1003">
                  <c:v>42451</c:v>
                </c:pt>
                <c:pt idx="1004">
                  <c:v>42452</c:v>
                </c:pt>
                <c:pt idx="1005">
                  <c:v>42453</c:v>
                </c:pt>
                <c:pt idx="1006">
                  <c:v>42458</c:v>
                </c:pt>
                <c:pt idx="1007">
                  <c:v>42459</c:v>
                </c:pt>
                <c:pt idx="1008">
                  <c:v>42460</c:v>
                </c:pt>
                <c:pt idx="1009">
                  <c:v>42461</c:v>
                </c:pt>
                <c:pt idx="1010">
                  <c:v>42464</c:v>
                </c:pt>
                <c:pt idx="1011">
                  <c:v>42465</c:v>
                </c:pt>
                <c:pt idx="1012">
                  <c:v>42466</c:v>
                </c:pt>
                <c:pt idx="1013">
                  <c:v>42467</c:v>
                </c:pt>
                <c:pt idx="1014">
                  <c:v>42468</c:v>
                </c:pt>
                <c:pt idx="1015">
                  <c:v>42471</c:v>
                </c:pt>
                <c:pt idx="1016">
                  <c:v>42472</c:v>
                </c:pt>
                <c:pt idx="1017">
                  <c:v>42473</c:v>
                </c:pt>
                <c:pt idx="1018">
                  <c:v>42474</c:v>
                </c:pt>
                <c:pt idx="1019">
                  <c:v>42475</c:v>
                </c:pt>
                <c:pt idx="1020">
                  <c:v>42478</c:v>
                </c:pt>
                <c:pt idx="1021">
                  <c:v>42479</c:v>
                </c:pt>
                <c:pt idx="1022">
                  <c:v>42480</c:v>
                </c:pt>
                <c:pt idx="1023">
                  <c:v>42481</c:v>
                </c:pt>
                <c:pt idx="1024">
                  <c:v>42482</c:v>
                </c:pt>
                <c:pt idx="1025">
                  <c:v>42485</c:v>
                </c:pt>
                <c:pt idx="1026">
                  <c:v>42486</c:v>
                </c:pt>
                <c:pt idx="1027">
                  <c:v>42487</c:v>
                </c:pt>
                <c:pt idx="1028">
                  <c:v>42488</c:v>
                </c:pt>
                <c:pt idx="1029">
                  <c:v>42489</c:v>
                </c:pt>
                <c:pt idx="1030">
                  <c:v>42492</c:v>
                </c:pt>
                <c:pt idx="1031">
                  <c:v>42493</c:v>
                </c:pt>
                <c:pt idx="1032">
                  <c:v>42494</c:v>
                </c:pt>
                <c:pt idx="1033">
                  <c:v>42495</c:v>
                </c:pt>
                <c:pt idx="1034">
                  <c:v>42496</c:v>
                </c:pt>
                <c:pt idx="1035">
                  <c:v>42499</c:v>
                </c:pt>
                <c:pt idx="1036">
                  <c:v>42500</c:v>
                </c:pt>
                <c:pt idx="1037">
                  <c:v>42501</c:v>
                </c:pt>
                <c:pt idx="1038">
                  <c:v>42502</c:v>
                </c:pt>
                <c:pt idx="1039">
                  <c:v>42503</c:v>
                </c:pt>
                <c:pt idx="1040">
                  <c:v>42506</c:v>
                </c:pt>
                <c:pt idx="1041">
                  <c:v>42507</c:v>
                </c:pt>
                <c:pt idx="1042">
                  <c:v>42508</c:v>
                </c:pt>
                <c:pt idx="1043">
                  <c:v>42509</c:v>
                </c:pt>
                <c:pt idx="1044">
                  <c:v>42510</c:v>
                </c:pt>
                <c:pt idx="1045">
                  <c:v>42513</c:v>
                </c:pt>
                <c:pt idx="1046">
                  <c:v>42514</c:v>
                </c:pt>
                <c:pt idx="1047">
                  <c:v>42515</c:v>
                </c:pt>
                <c:pt idx="1048">
                  <c:v>42516</c:v>
                </c:pt>
                <c:pt idx="1049">
                  <c:v>42517</c:v>
                </c:pt>
                <c:pt idx="1050">
                  <c:v>42520</c:v>
                </c:pt>
                <c:pt idx="1051">
                  <c:v>42521</c:v>
                </c:pt>
                <c:pt idx="1052">
                  <c:v>42522</c:v>
                </c:pt>
                <c:pt idx="1053">
                  <c:v>42523</c:v>
                </c:pt>
                <c:pt idx="1054">
                  <c:v>42524</c:v>
                </c:pt>
                <c:pt idx="1055">
                  <c:v>42527</c:v>
                </c:pt>
                <c:pt idx="1056">
                  <c:v>42528</c:v>
                </c:pt>
                <c:pt idx="1057">
                  <c:v>42529</c:v>
                </c:pt>
                <c:pt idx="1058">
                  <c:v>42530</c:v>
                </c:pt>
                <c:pt idx="1059">
                  <c:v>42531</c:v>
                </c:pt>
                <c:pt idx="1060">
                  <c:v>42534</c:v>
                </c:pt>
                <c:pt idx="1061">
                  <c:v>42535</c:v>
                </c:pt>
                <c:pt idx="1062">
                  <c:v>42536</c:v>
                </c:pt>
                <c:pt idx="1063">
                  <c:v>42537</c:v>
                </c:pt>
                <c:pt idx="1064">
                  <c:v>42538</c:v>
                </c:pt>
                <c:pt idx="1065">
                  <c:v>42541</c:v>
                </c:pt>
                <c:pt idx="1066">
                  <c:v>42542</c:v>
                </c:pt>
                <c:pt idx="1067">
                  <c:v>42543</c:v>
                </c:pt>
                <c:pt idx="1068">
                  <c:v>42544</c:v>
                </c:pt>
                <c:pt idx="1069">
                  <c:v>42545</c:v>
                </c:pt>
                <c:pt idx="1070">
                  <c:v>42548</c:v>
                </c:pt>
                <c:pt idx="1071">
                  <c:v>42549</c:v>
                </c:pt>
                <c:pt idx="1072">
                  <c:v>42550</c:v>
                </c:pt>
                <c:pt idx="1073">
                  <c:v>42551</c:v>
                </c:pt>
                <c:pt idx="1074">
                  <c:v>42552</c:v>
                </c:pt>
                <c:pt idx="1075">
                  <c:v>42555</c:v>
                </c:pt>
                <c:pt idx="1076">
                  <c:v>42556</c:v>
                </c:pt>
                <c:pt idx="1077">
                  <c:v>42557</c:v>
                </c:pt>
                <c:pt idx="1078">
                  <c:v>42558</c:v>
                </c:pt>
                <c:pt idx="1079">
                  <c:v>42559</c:v>
                </c:pt>
                <c:pt idx="1080">
                  <c:v>42562</c:v>
                </c:pt>
                <c:pt idx="1081">
                  <c:v>42563</c:v>
                </c:pt>
                <c:pt idx="1082">
                  <c:v>42564</c:v>
                </c:pt>
                <c:pt idx="1083">
                  <c:v>42565</c:v>
                </c:pt>
                <c:pt idx="1084">
                  <c:v>42566</c:v>
                </c:pt>
                <c:pt idx="1085">
                  <c:v>42569</c:v>
                </c:pt>
                <c:pt idx="1086">
                  <c:v>42570</c:v>
                </c:pt>
                <c:pt idx="1087">
                  <c:v>42571</c:v>
                </c:pt>
                <c:pt idx="1088">
                  <c:v>42572</c:v>
                </c:pt>
                <c:pt idx="1089">
                  <c:v>42573</c:v>
                </c:pt>
                <c:pt idx="1090">
                  <c:v>42576</c:v>
                </c:pt>
                <c:pt idx="1091">
                  <c:v>42577</c:v>
                </c:pt>
                <c:pt idx="1092">
                  <c:v>42578</c:v>
                </c:pt>
                <c:pt idx="1093">
                  <c:v>42579</c:v>
                </c:pt>
                <c:pt idx="1094">
                  <c:v>42580</c:v>
                </c:pt>
                <c:pt idx="1095">
                  <c:v>42583</c:v>
                </c:pt>
                <c:pt idx="1096">
                  <c:v>42584</c:v>
                </c:pt>
                <c:pt idx="1097">
                  <c:v>42585</c:v>
                </c:pt>
                <c:pt idx="1098">
                  <c:v>42586</c:v>
                </c:pt>
                <c:pt idx="1099">
                  <c:v>42587</c:v>
                </c:pt>
                <c:pt idx="1100">
                  <c:v>42590</c:v>
                </c:pt>
                <c:pt idx="1101">
                  <c:v>42591</c:v>
                </c:pt>
                <c:pt idx="1102">
                  <c:v>42592</c:v>
                </c:pt>
                <c:pt idx="1103">
                  <c:v>42593</c:v>
                </c:pt>
                <c:pt idx="1104">
                  <c:v>42594</c:v>
                </c:pt>
                <c:pt idx="1105">
                  <c:v>42598</c:v>
                </c:pt>
                <c:pt idx="1106">
                  <c:v>42599</c:v>
                </c:pt>
                <c:pt idx="1107">
                  <c:v>42600</c:v>
                </c:pt>
                <c:pt idx="1108">
                  <c:v>42601</c:v>
                </c:pt>
                <c:pt idx="1109">
                  <c:v>42604</c:v>
                </c:pt>
                <c:pt idx="1110">
                  <c:v>42605</c:v>
                </c:pt>
                <c:pt idx="1111">
                  <c:v>42606</c:v>
                </c:pt>
                <c:pt idx="1112">
                  <c:v>42607</c:v>
                </c:pt>
                <c:pt idx="1113">
                  <c:v>42608</c:v>
                </c:pt>
                <c:pt idx="1114">
                  <c:v>42611</c:v>
                </c:pt>
                <c:pt idx="1115">
                  <c:v>42612</c:v>
                </c:pt>
                <c:pt idx="1116">
                  <c:v>42613</c:v>
                </c:pt>
                <c:pt idx="1117">
                  <c:v>42614</c:v>
                </c:pt>
                <c:pt idx="1118">
                  <c:v>42615</c:v>
                </c:pt>
                <c:pt idx="1119">
                  <c:v>42618</c:v>
                </c:pt>
                <c:pt idx="1120">
                  <c:v>42619</c:v>
                </c:pt>
                <c:pt idx="1121">
                  <c:v>42620</c:v>
                </c:pt>
                <c:pt idx="1122">
                  <c:v>42621</c:v>
                </c:pt>
                <c:pt idx="1123">
                  <c:v>42622</c:v>
                </c:pt>
                <c:pt idx="1124">
                  <c:v>42625</c:v>
                </c:pt>
                <c:pt idx="1125">
                  <c:v>42626</c:v>
                </c:pt>
                <c:pt idx="1126">
                  <c:v>42627</c:v>
                </c:pt>
                <c:pt idx="1127">
                  <c:v>42628</c:v>
                </c:pt>
                <c:pt idx="1128">
                  <c:v>42629</c:v>
                </c:pt>
                <c:pt idx="1129">
                  <c:v>42632</c:v>
                </c:pt>
                <c:pt idx="1130">
                  <c:v>42633</c:v>
                </c:pt>
                <c:pt idx="1131">
                  <c:v>42634</c:v>
                </c:pt>
                <c:pt idx="1132">
                  <c:v>42635</c:v>
                </c:pt>
                <c:pt idx="1133">
                  <c:v>42636</c:v>
                </c:pt>
                <c:pt idx="1134">
                  <c:v>42639</c:v>
                </c:pt>
                <c:pt idx="1135">
                  <c:v>42640</c:v>
                </c:pt>
                <c:pt idx="1136">
                  <c:v>42641</c:v>
                </c:pt>
                <c:pt idx="1137">
                  <c:v>42642</c:v>
                </c:pt>
                <c:pt idx="1138">
                  <c:v>42643</c:v>
                </c:pt>
                <c:pt idx="1139">
                  <c:v>42646</c:v>
                </c:pt>
                <c:pt idx="1140">
                  <c:v>42647</c:v>
                </c:pt>
                <c:pt idx="1141">
                  <c:v>42648</c:v>
                </c:pt>
                <c:pt idx="1142">
                  <c:v>42649</c:v>
                </c:pt>
                <c:pt idx="1143">
                  <c:v>42650</c:v>
                </c:pt>
                <c:pt idx="1144">
                  <c:v>42653</c:v>
                </c:pt>
                <c:pt idx="1145">
                  <c:v>42654</c:v>
                </c:pt>
                <c:pt idx="1146">
                  <c:v>42655</c:v>
                </c:pt>
                <c:pt idx="1147">
                  <c:v>42656</c:v>
                </c:pt>
                <c:pt idx="1148">
                  <c:v>42657</c:v>
                </c:pt>
                <c:pt idx="1149">
                  <c:v>42660</c:v>
                </c:pt>
                <c:pt idx="1150">
                  <c:v>42661</c:v>
                </c:pt>
                <c:pt idx="1151">
                  <c:v>42662</c:v>
                </c:pt>
                <c:pt idx="1152">
                  <c:v>42663</c:v>
                </c:pt>
                <c:pt idx="1153">
                  <c:v>42664</c:v>
                </c:pt>
                <c:pt idx="1154">
                  <c:v>42667</c:v>
                </c:pt>
                <c:pt idx="1155">
                  <c:v>42668</c:v>
                </c:pt>
                <c:pt idx="1156">
                  <c:v>42669</c:v>
                </c:pt>
                <c:pt idx="1157">
                  <c:v>42670</c:v>
                </c:pt>
                <c:pt idx="1158">
                  <c:v>42671</c:v>
                </c:pt>
                <c:pt idx="1159">
                  <c:v>42674</c:v>
                </c:pt>
                <c:pt idx="1160">
                  <c:v>42675</c:v>
                </c:pt>
                <c:pt idx="1161">
                  <c:v>42676</c:v>
                </c:pt>
                <c:pt idx="1162">
                  <c:v>42677</c:v>
                </c:pt>
                <c:pt idx="1163">
                  <c:v>42678</c:v>
                </c:pt>
                <c:pt idx="1164">
                  <c:v>42681</c:v>
                </c:pt>
                <c:pt idx="1165">
                  <c:v>42682</c:v>
                </c:pt>
                <c:pt idx="1166">
                  <c:v>42683</c:v>
                </c:pt>
                <c:pt idx="1167">
                  <c:v>42684</c:v>
                </c:pt>
                <c:pt idx="1168">
                  <c:v>42685</c:v>
                </c:pt>
                <c:pt idx="1169">
                  <c:v>42688</c:v>
                </c:pt>
                <c:pt idx="1170">
                  <c:v>42689</c:v>
                </c:pt>
                <c:pt idx="1171">
                  <c:v>42690</c:v>
                </c:pt>
                <c:pt idx="1172">
                  <c:v>42691</c:v>
                </c:pt>
                <c:pt idx="1173">
                  <c:v>42692</c:v>
                </c:pt>
                <c:pt idx="1174">
                  <c:v>42695</c:v>
                </c:pt>
                <c:pt idx="1175">
                  <c:v>42696</c:v>
                </c:pt>
                <c:pt idx="1176">
                  <c:v>42697</c:v>
                </c:pt>
                <c:pt idx="1177">
                  <c:v>42698</c:v>
                </c:pt>
                <c:pt idx="1178">
                  <c:v>42699</c:v>
                </c:pt>
                <c:pt idx="1179">
                  <c:v>42702</c:v>
                </c:pt>
                <c:pt idx="1180">
                  <c:v>42703</c:v>
                </c:pt>
                <c:pt idx="1181">
                  <c:v>42704</c:v>
                </c:pt>
                <c:pt idx="1182">
                  <c:v>42705</c:v>
                </c:pt>
                <c:pt idx="1183">
                  <c:v>42706</c:v>
                </c:pt>
                <c:pt idx="1184">
                  <c:v>42709</c:v>
                </c:pt>
                <c:pt idx="1185">
                  <c:v>42710</c:v>
                </c:pt>
                <c:pt idx="1186">
                  <c:v>42711</c:v>
                </c:pt>
                <c:pt idx="1187">
                  <c:v>42712</c:v>
                </c:pt>
                <c:pt idx="1188">
                  <c:v>42713</c:v>
                </c:pt>
                <c:pt idx="1189">
                  <c:v>42716</c:v>
                </c:pt>
                <c:pt idx="1190">
                  <c:v>42717</c:v>
                </c:pt>
                <c:pt idx="1191">
                  <c:v>42718</c:v>
                </c:pt>
                <c:pt idx="1192">
                  <c:v>42719</c:v>
                </c:pt>
                <c:pt idx="1193">
                  <c:v>42720</c:v>
                </c:pt>
                <c:pt idx="1194">
                  <c:v>42723</c:v>
                </c:pt>
                <c:pt idx="1195">
                  <c:v>42724</c:v>
                </c:pt>
                <c:pt idx="1196">
                  <c:v>42725</c:v>
                </c:pt>
                <c:pt idx="1197">
                  <c:v>42726</c:v>
                </c:pt>
                <c:pt idx="1198">
                  <c:v>42727</c:v>
                </c:pt>
                <c:pt idx="1199">
                  <c:v>42731</c:v>
                </c:pt>
                <c:pt idx="1200">
                  <c:v>42732</c:v>
                </c:pt>
                <c:pt idx="1201">
                  <c:v>42733</c:v>
                </c:pt>
                <c:pt idx="1202">
                  <c:v>42734</c:v>
                </c:pt>
                <c:pt idx="1203">
                  <c:v>42737</c:v>
                </c:pt>
                <c:pt idx="1204">
                  <c:v>42738</c:v>
                </c:pt>
                <c:pt idx="1205">
                  <c:v>42739</c:v>
                </c:pt>
                <c:pt idx="1206">
                  <c:v>42740</c:v>
                </c:pt>
                <c:pt idx="1207">
                  <c:v>42741</c:v>
                </c:pt>
                <c:pt idx="1208">
                  <c:v>42744</c:v>
                </c:pt>
                <c:pt idx="1209">
                  <c:v>42745</c:v>
                </c:pt>
                <c:pt idx="1210">
                  <c:v>42746</c:v>
                </c:pt>
                <c:pt idx="1211">
                  <c:v>42747</c:v>
                </c:pt>
                <c:pt idx="1212">
                  <c:v>42748</c:v>
                </c:pt>
                <c:pt idx="1213">
                  <c:v>42751</c:v>
                </c:pt>
                <c:pt idx="1214">
                  <c:v>42752</c:v>
                </c:pt>
                <c:pt idx="1215">
                  <c:v>42753</c:v>
                </c:pt>
                <c:pt idx="1216">
                  <c:v>42754</c:v>
                </c:pt>
                <c:pt idx="1217">
                  <c:v>42755</c:v>
                </c:pt>
                <c:pt idx="1218">
                  <c:v>42758</c:v>
                </c:pt>
                <c:pt idx="1219">
                  <c:v>42759</c:v>
                </c:pt>
                <c:pt idx="1220">
                  <c:v>42760</c:v>
                </c:pt>
                <c:pt idx="1221">
                  <c:v>42761</c:v>
                </c:pt>
                <c:pt idx="1222">
                  <c:v>42762</c:v>
                </c:pt>
                <c:pt idx="1223">
                  <c:v>42765</c:v>
                </c:pt>
                <c:pt idx="1224">
                  <c:v>42766</c:v>
                </c:pt>
                <c:pt idx="1225">
                  <c:v>42767</c:v>
                </c:pt>
                <c:pt idx="1226">
                  <c:v>42768</c:v>
                </c:pt>
                <c:pt idx="1227">
                  <c:v>42769</c:v>
                </c:pt>
                <c:pt idx="1228">
                  <c:v>42772</c:v>
                </c:pt>
                <c:pt idx="1229">
                  <c:v>42773</c:v>
                </c:pt>
                <c:pt idx="1230">
                  <c:v>42774</c:v>
                </c:pt>
                <c:pt idx="1231">
                  <c:v>42775</c:v>
                </c:pt>
                <c:pt idx="1232">
                  <c:v>42776</c:v>
                </c:pt>
                <c:pt idx="1233">
                  <c:v>42779</c:v>
                </c:pt>
                <c:pt idx="1234">
                  <c:v>42780</c:v>
                </c:pt>
                <c:pt idx="1235">
                  <c:v>42781</c:v>
                </c:pt>
                <c:pt idx="1236">
                  <c:v>42782</c:v>
                </c:pt>
                <c:pt idx="1237">
                  <c:v>42783</c:v>
                </c:pt>
                <c:pt idx="1238">
                  <c:v>42786</c:v>
                </c:pt>
                <c:pt idx="1239">
                  <c:v>42787</c:v>
                </c:pt>
                <c:pt idx="1240">
                  <c:v>42788</c:v>
                </c:pt>
                <c:pt idx="1241">
                  <c:v>42789</c:v>
                </c:pt>
                <c:pt idx="1242">
                  <c:v>42790</c:v>
                </c:pt>
                <c:pt idx="1243">
                  <c:v>42793</c:v>
                </c:pt>
                <c:pt idx="1244">
                  <c:v>42794</c:v>
                </c:pt>
                <c:pt idx="1245">
                  <c:v>42795</c:v>
                </c:pt>
                <c:pt idx="1246">
                  <c:v>42796</c:v>
                </c:pt>
                <c:pt idx="1247">
                  <c:v>42797</c:v>
                </c:pt>
                <c:pt idx="1248">
                  <c:v>42800</c:v>
                </c:pt>
                <c:pt idx="1249">
                  <c:v>42801</c:v>
                </c:pt>
                <c:pt idx="1250">
                  <c:v>42802</c:v>
                </c:pt>
                <c:pt idx="1251">
                  <c:v>42803</c:v>
                </c:pt>
                <c:pt idx="1252">
                  <c:v>42804</c:v>
                </c:pt>
                <c:pt idx="1253">
                  <c:v>42807</c:v>
                </c:pt>
                <c:pt idx="1254">
                  <c:v>42808</c:v>
                </c:pt>
                <c:pt idx="1255">
                  <c:v>42809</c:v>
                </c:pt>
                <c:pt idx="1256">
                  <c:v>42810</c:v>
                </c:pt>
                <c:pt idx="1257">
                  <c:v>42811</c:v>
                </c:pt>
                <c:pt idx="1258">
                  <c:v>42814</c:v>
                </c:pt>
                <c:pt idx="1259">
                  <c:v>42815</c:v>
                </c:pt>
                <c:pt idx="1260">
                  <c:v>42816</c:v>
                </c:pt>
                <c:pt idx="1261">
                  <c:v>42817</c:v>
                </c:pt>
                <c:pt idx="1262">
                  <c:v>42818</c:v>
                </c:pt>
                <c:pt idx="1263">
                  <c:v>42821</c:v>
                </c:pt>
                <c:pt idx="1264">
                  <c:v>42822</c:v>
                </c:pt>
                <c:pt idx="1265">
                  <c:v>42823</c:v>
                </c:pt>
                <c:pt idx="1266">
                  <c:v>42824</c:v>
                </c:pt>
                <c:pt idx="1267">
                  <c:v>42825</c:v>
                </c:pt>
              </c:numCache>
            </c:numRef>
          </c:cat>
          <c:val>
            <c:numRef>
              <c:f>Backups!$C$5:$C$1272</c:f>
              <c:numCache>
                <c:formatCode>#,##0.0_)_);\(#,##0.0\)_);\-_)_);@_)_)</c:formatCode>
                <c:ptCount val="1268"/>
                <c:pt idx="0">
                  <c:v>2.184679</c:v>
                </c:pt>
                <c:pt idx="1">
                  <c:v>2.178328</c:v>
                </c:pt>
                <c:pt idx="2">
                  <c:v>2.1867960000000002</c:v>
                </c:pt>
                <c:pt idx="3">
                  <c:v>2.1825619999999999</c:v>
                </c:pt>
                <c:pt idx="4">
                  <c:v>2.1550419999999999</c:v>
                </c:pt>
                <c:pt idx="5">
                  <c:v>2.1592760000000002</c:v>
                </c:pt>
                <c:pt idx="6">
                  <c:v>2.2185489999999999</c:v>
                </c:pt>
                <c:pt idx="7">
                  <c:v>2.1762109999999999</c:v>
                </c:pt>
                <c:pt idx="8">
                  <c:v>2.178328</c:v>
                </c:pt>
                <c:pt idx="9">
                  <c:v>2.2291340000000002</c:v>
                </c:pt>
                <c:pt idx="10">
                  <c:v>2.2481870000000002</c:v>
                </c:pt>
                <c:pt idx="11">
                  <c:v>2.1931470000000002</c:v>
                </c:pt>
                <c:pt idx="12">
                  <c:v>2.1825619999999999</c:v>
                </c:pt>
                <c:pt idx="13">
                  <c:v>2.1529250000000002</c:v>
                </c:pt>
                <c:pt idx="14">
                  <c:v>2.184679</c:v>
                </c:pt>
                <c:pt idx="15">
                  <c:v>2.2312509999999999</c:v>
                </c:pt>
                <c:pt idx="16">
                  <c:v>2.2376019999999999</c:v>
                </c:pt>
                <c:pt idx="17">
                  <c:v>2.2481870000000002</c:v>
                </c:pt>
                <c:pt idx="18">
                  <c:v>2.2608890000000001</c:v>
                </c:pt>
                <c:pt idx="19">
                  <c:v>2.2248999999999999</c:v>
                </c:pt>
                <c:pt idx="20">
                  <c:v>2.2376019999999999</c:v>
                </c:pt>
                <c:pt idx="21">
                  <c:v>2.2227839999999999</c:v>
                </c:pt>
                <c:pt idx="22">
                  <c:v>2.2672400000000001</c:v>
                </c:pt>
                <c:pt idx="23">
                  <c:v>2.2248999999999999</c:v>
                </c:pt>
                <c:pt idx="24">
                  <c:v>2.2481870000000002</c:v>
                </c:pt>
                <c:pt idx="25">
                  <c:v>2.2630050000000002</c:v>
                </c:pt>
                <c:pt idx="26">
                  <c:v>2.2905259999999998</c:v>
                </c:pt>
                <c:pt idx="27">
                  <c:v>2.2693560000000002</c:v>
                </c:pt>
                <c:pt idx="28">
                  <c:v>2.3053439999999998</c:v>
                </c:pt>
                <c:pt idx="29">
                  <c:v>2.239719</c:v>
                </c:pt>
                <c:pt idx="30">
                  <c:v>2.24607</c:v>
                </c:pt>
                <c:pt idx="31">
                  <c:v>2.2376019999999999</c:v>
                </c:pt>
                <c:pt idx="32">
                  <c:v>2.2354280000000002</c:v>
                </c:pt>
                <c:pt idx="33">
                  <c:v>2.2854420000000002</c:v>
                </c:pt>
                <c:pt idx="34">
                  <c:v>2.2376019999999999</c:v>
                </c:pt>
                <c:pt idx="35">
                  <c:v>2.2528239999999999</c:v>
                </c:pt>
                <c:pt idx="36">
                  <c:v>2.259347</c:v>
                </c:pt>
                <c:pt idx="37">
                  <c:v>2.2506499999999998</c:v>
                </c:pt>
                <c:pt idx="38">
                  <c:v>2.2767439999999999</c:v>
                </c:pt>
                <c:pt idx="39">
                  <c:v>2.2332529999999999</c:v>
                </c:pt>
                <c:pt idx="40">
                  <c:v>2.2419509999999998</c:v>
                </c:pt>
                <c:pt idx="41">
                  <c:v>2.2136819999999999</c:v>
                </c:pt>
                <c:pt idx="42">
                  <c:v>2.209333</c:v>
                </c:pt>
                <c:pt idx="43">
                  <c:v>2.2071589999999999</c:v>
                </c:pt>
                <c:pt idx="44">
                  <c:v>2.2441260000000001</c:v>
                </c:pt>
                <c:pt idx="45">
                  <c:v>2.248475</c:v>
                </c:pt>
                <c:pt idx="46">
                  <c:v>2.2419509999999998</c:v>
                </c:pt>
                <c:pt idx="47">
                  <c:v>2.2310789999999998</c:v>
                </c:pt>
                <c:pt idx="48">
                  <c:v>2.228904</c:v>
                </c:pt>
                <c:pt idx="49">
                  <c:v>2.2463000000000002</c:v>
                </c:pt>
                <c:pt idx="50">
                  <c:v>2.2789190000000001</c:v>
                </c:pt>
                <c:pt idx="51">
                  <c:v>2.2897910000000001</c:v>
                </c:pt>
                <c:pt idx="52">
                  <c:v>2.2919649999999998</c:v>
                </c:pt>
                <c:pt idx="53">
                  <c:v>2.2963149999999999</c:v>
                </c:pt>
                <c:pt idx="54">
                  <c:v>2.3245840000000002</c:v>
                </c:pt>
                <c:pt idx="55">
                  <c:v>2.3332820000000001</c:v>
                </c:pt>
                <c:pt idx="56">
                  <c:v>2.3354569999999999</c:v>
                </c:pt>
                <c:pt idx="57">
                  <c:v>2.311537</c:v>
                </c:pt>
                <c:pt idx="58">
                  <c:v>2.268046</c:v>
                </c:pt>
                <c:pt idx="59">
                  <c:v>2.3202349999999998</c:v>
                </c:pt>
                <c:pt idx="60">
                  <c:v>2.3137110000000001</c:v>
                </c:pt>
                <c:pt idx="61">
                  <c:v>2.3876460000000002</c:v>
                </c:pt>
                <c:pt idx="62">
                  <c:v>2.4246129999999999</c:v>
                </c:pt>
                <c:pt idx="63">
                  <c:v>2.3919950000000001</c:v>
                </c:pt>
                <c:pt idx="64">
                  <c:v>2.3919950000000001</c:v>
                </c:pt>
                <c:pt idx="65">
                  <c:v>2.3898199999999998</c:v>
                </c:pt>
                <c:pt idx="66">
                  <c:v>2.3702489999999998</c:v>
                </c:pt>
                <c:pt idx="67">
                  <c:v>2.3724240000000001</c:v>
                </c:pt>
                <c:pt idx="68">
                  <c:v>2.4028670000000001</c:v>
                </c:pt>
                <c:pt idx="69">
                  <c:v>2.3941690000000002</c:v>
                </c:pt>
                <c:pt idx="70">
                  <c:v>2.3528530000000001</c:v>
                </c:pt>
                <c:pt idx="71">
                  <c:v>2.381122</c:v>
                </c:pt>
                <c:pt idx="72">
                  <c:v>2.4180899999999999</c:v>
                </c:pt>
                <c:pt idx="73">
                  <c:v>2.3789470000000001</c:v>
                </c:pt>
                <c:pt idx="74">
                  <c:v>2.3398059999999998</c:v>
                </c:pt>
                <c:pt idx="75">
                  <c:v>2.3658999999999999</c:v>
                </c:pt>
                <c:pt idx="76">
                  <c:v>2.3332820000000001</c:v>
                </c:pt>
                <c:pt idx="77">
                  <c:v>2.3093620000000001</c:v>
                </c:pt>
                <c:pt idx="78">
                  <c:v>2.307188</c:v>
                </c:pt>
                <c:pt idx="79">
                  <c:v>2.326759</c:v>
                </c:pt>
                <c:pt idx="80">
                  <c:v>2.400693</c:v>
                </c:pt>
                <c:pt idx="81">
                  <c:v>2.407216</c:v>
                </c:pt>
                <c:pt idx="82">
                  <c:v>2.439835</c:v>
                </c:pt>
                <c:pt idx="83">
                  <c:v>2.439835</c:v>
                </c:pt>
                <c:pt idx="84">
                  <c:v>2.446358</c:v>
                </c:pt>
                <c:pt idx="85">
                  <c:v>2.396344</c:v>
                </c:pt>
                <c:pt idx="86">
                  <c:v>2.4681039999999999</c:v>
                </c:pt>
                <c:pt idx="87">
                  <c:v>2.4746269999999999</c:v>
                </c:pt>
                <c:pt idx="88">
                  <c:v>2.4333109999999998</c:v>
                </c:pt>
                <c:pt idx="89">
                  <c:v>2.4180899999999999</c:v>
                </c:pt>
                <c:pt idx="90">
                  <c:v>2.400693</c:v>
                </c:pt>
                <c:pt idx="91">
                  <c:v>2.3854709999999999</c:v>
                </c:pt>
                <c:pt idx="92">
                  <c:v>2.3832960000000001</c:v>
                </c:pt>
                <c:pt idx="93">
                  <c:v>2.381122</c:v>
                </c:pt>
                <c:pt idx="94">
                  <c:v>2.376773</c:v>
                </c:pt>
                <c:pt idx="95">
                  <c:v>2.361551</c:v>
                </c:pt>
                <c:pt idx="96">
                  <c:v>2.3528530000000001</c:v>
                </c:pt>
                <c:pt idx="97">
                  <c:v>2.396344</c:v>
                </c:pt>
                <c:pt idx="98">
                  <c:v>2.3702489999999998</c:v>
                </c:pt>
                <c:pt idx="99">
                  <c:v>2.3637260000000002</c:v>
                </c:pt>
                <c:pt idx="100">
                  <c:v>2.3789470000000001</c:v>
                </c:pt>
                <c:pt idx="101">
                  <c:v>2.3441550000000002</c:v>
                </c:pt>
                <c:pt idx="102">
                  <c:v>2.3637260000000002</c:v>
                </c:pt>
                <c:pt idx="103">
                  <c:v>2.3680750000000002</c:v>
                </c:pt>
                <c:pt idx="104">
                  <c:v>2.3593769999999998</c:v>
                </c:pt>
                <c:pt idx="105">
                  <c:v>2.376773</c:v>
                </c:pt>
                <c:pt idx="106">
                  <c:v>2.5659580000000002</c:v>
                </c:pt>
                <c:pt idx="107">
                  <c:v>2.5920529999999999</c:v>
                </c:pt>
                <c:pt idx="108">
                  <c:v>2.5768309999999999</c:v>
                </c:pt>
                <c:pt idx="109">
                  <c:v>2.6398929999999998</c:v>
                </c:pt>
                <c:pt idx="110">
                  <c:v>2.5855290000000002</c:v>
                </c:pt>
                <c:pt idx="111">
                  <c:v>2.5724819999999999</c:v>
                </c:pt>
                <c:pt idx="112">
                  <c:v>2.5855290000000002</c:v>
                </c:pt>
                <c:pt idx="113">
                  <c:v>2.5877029999999999</c:v>
                </c:pt>
                <c:pt idx="114">
                  <c:v>2.6137980000000001</c:v>
                </c:pt>
                <c:pt idx="115">
                  <c:v>2.6529400000000001</c:v>
                </c:pt>
                <c:pt idx="116">
                  <c:v>2.6094490000000001</c:v>
                </c:pt>
                <c:pt idx="117">
                  <c:v>2.6507649999999998</c:v>
                </c:pt>
                <c:pt idx="118">
                  <c:v>2.6594630000000001</c:v>
                </c:pt>
                <c:pt idx="119">
                  <c:v>2.637718</c:v>
                </c:pt>
                <c:pt idx="120">
                  <c:v>2.6420669999999999</c:v>
                </c:pt>
                <c:pt idx="121">
                  <c:v>2.6420669999999999</c:v>
                </c:pt>
                <c:pt idx="122">
                  <c:v>2.6746850000000002</c:v>
                </c:pt>
                <c:pt idx="123">
                  <c:v>2.6333690000000001</c:v>
                </c:pt>
                <c:pt idx="124">
                  <c:v>2.7225250000000001</c:v>
                </c:pt>
                <c:pt idx="125">
                  <c:v>2.6616379999999999</c:v>
                </c:pt>
                <c:pt idx="126">
                  <c:v>2.6986050000000001</c:v>
                </c:pt>
                <c:pt idx="127">
                  <c:v>2.707303</c:v>
                </c:pt>
                <c:pt idx="128">
                  <c:v>2.7094779999999998</c:v>
                </c:pt>
                <c:pt idx="129">
                  <c:v>2.7160009999999999</c:v>
                </c:pt>
                <c:pt idx="130">
                  <c:v>2.7486199999999998</c:v>
                </c:pt>
                <c:pt idx="131">
                  <c:v>2.7290489999999998</c:v>
                </c:pt>
                <c:pt idx="132">
                  <c:v>2.726874</c:v>
                </c:pt>
                <c:pt idx="133">
                  <c:v>2.7355719999999999</c:v>
                </c:pt>
                <c:pt idx="134">
                  <c:v>2.7594919999999998</c:v>
                </c:pt>
                <c:pt idx="135">
                  <c:v>2.7573180000000002</c:v>
                </c:pt>
                <c:pt idx="136">
                  <c:v>2.7942849999999999</c:v>
                </c:pt>
                <c:pt idx="137">
                  <c:v>2.809507</c:v>
                </c:pt>
                <c:pt idx="138">
                  <c:v>2.8247279999999999</c:v>
                </c:pt>
                <c:pt idx="139">
                  <c:v>2.7399209999999998</c:v>
                </c:pt>
                <c:pt idx="140">
                  <c:v>2.7790629999999998</c:v>
                </c:pt>
                <c:pt idx="141">
                  <c:v>2.8029829999999998</c:v>
                </c:pt>
                <c:pt idx="142">
                  <c:v>2.7246990000000002</c:v>
                </c:pt>
                <c:pt idx="143">
                  <c:v>2.770365</c:v>
                </c:pt>
                <c:pt idx="144">
                  <c:v>2.796459</c:v>
                </c:pt>
                <c:pt idx="145">
                  <c:v>2.789936</c:v>
                </c:pt>
                <c:pt idx="146">
                  <c:v>2.7051289999999999</c:v>
                </c:pt>
                <c:pt idx="147">
                  <c:v>2.7181760000000001</c:v>
                </c:pt>
                <c:pt idx="148">
                  <c:v>2.7225250000000001</c:v>
                </c:pt>
                <c:pt idx="149">
                  <c:v>2.7420960000000001</c:v>
                </c:pt>
                <c:pt idx="150">
                  <c:v>2.766016</c:v>
                </c:pt>
                <c:pt idx="151">
                  <c:v>2.7442700000000002</c:v>
                </c:pt>
                <c:pt idx="152">
                  <c:v>2.766016</c:v>
                </c:pt>
                <c:pt idx="153">
                  <c:v>2.746445</c:v>
                </c:pt>
                <c:pt idx="154">
                  <c:v>2.7203499999999998</c:v>
                </c:pt>
                <c:pt idx="155">
                  <c:v>2.707303</c:v>
                </c:pt>
                <c:pt idx="156">
                  <c:v>2.548562</c:v>
                </c:pt>
                <c:pt idx="157">
                  <c:v>2.5550860000000002</c:v>
                </c:pt>
                <c:pt idx="158">
                  <c:v>2.4876740000000002</c:v>
                </c:pt>
                <c:pt idx="159">
                  <c:v>2.381122</c:v>
                </c:pt>
                <c:pt idx="160">
                  <c:v>2.4050419999999999</c:v>
                </c:pt>
                <c:pt idx="161">
                  <c:v>2.426787</c:v>
                </c:pt>
                <c:pt idx="162">
                  <c:v>2.4376600000000002</c:v>
                </c:pt>
                <c:pt idx="163">
                  <c:v>2.4528819999999998</c:v>
                </c:pt>
                <c:pt idx="164">
                  <c:v>2.4746269999999999</c:v>
                </c:pt>
                <c:pt idx="165">
                  <c:v>2.4920239999999998</c:v>
                </c:pt>
                <c:pt idx="166">
                  <c:v>2.4637549999999999</c:v>
                </c:pt>
                <c:pt idx="167">
                  <c:v>2.4833249999999998</c:v>
                </c:pt>
                <c:pt idx="168">
                  <c:v>2.4985469999999999</c:v>
                </c:pt>
                <c:pt idx="169">
                  <c:v>2.5268169999999999</c:v>
                </c:pt>
                <c:pt idx="170">
                  <c:v>2.4985469999999999</c:v>
                </c:pt>
                <c:pt idx="171">
                  <c:v>2.489849</c:v>
                </c:pt>
                <c:pt idx="172">
                  <c:v>2.4572310000000002</c:v>
                </c:pt>
                <c:pt idx="173">
                  <c:v>2.465929</c:v>
                </c:pt>
                <c:pt idx="174">
                  <c:v>2.439835</c:v>
                </c:pt>
                <c:pt idx="175">
                  <c:v>2.4550559999999999</c:v>
                </c:pt>
                <c:pt idx="176">
                  <c:v>2.4333109999999998</c:v>
                </c:pt>
                <c:pt idx="177">
                  <c:v>2.450707</c:v>
                </c:pt>
                <c:pt idx="178">
                  <c:v>2.4572310000000002</c:v>
                </c:pt>
                <c:pt idx="179">
                  <c:v>2.459406</c:v>
                </c:pt>
                <c:pt idx="180">
                  <c:v>2.4789759999999998</c:v>
                </c:pt>
                <c:pt idx="181">
                  <c:v>2.4833249999999998</c:v>
                </c:pt>
                <c:pt idx="182">
                  <c:v>2.4985469999999999</c:v>
                </c:pt>
                <c:pt idx="183">
                  <c:v>2.5420379999999998</c:v>
                </c:pt>
                <c:pt idx="184">
                  <c:v>2.5202930000000001</c:v>
                </c:pt>
                <c:pt idx="185">
                  <c:v>2.5246420000000001</c:v>
                </c:pt>
                <c:pt idx="186">
                  <c:v>2.515943</c:v>
                </c:pt>
                <c:pt idx="187">
                  <c:v>2.5224679999999999</c:v>
                </c:pt>
                <c:pt idx="188">
                  <c:v>2.5833539999999999</c:v>
                </c:pt>
                <c:pt idx="189">
                  <c:v>2.5724819999999999</c:v>
                </c:pt>
                <c:pt idx="190">
                  <c:v>2.568133</c:v>
                </c:pt>
                <c:pt idx="191">
                  <c:v>2.5703070000000001</c:v>
                </c:pt>
                <c:pt idx="192">
                  <c:v>2.5833539999999999</c:v>
                </c:pt>
                <c:pt idx="193">
                  <c:v>2.5942270000000001</c:v>
                </c:pt>
                <c:pt idx="194">
                  <c:v>2.5833539999999999</c:v>
                </c:pt>
                <c:pt idx="195">
                  <c:v>2.5463870000000002</c:v>
                </c:pt>
                <c:pt idx="196">
                  <c:v>2.5333399999999999</c:v>
                </c:pt>
                <c:pt idx="197">
                  <c:v>2.5181179999999999</c:v>
                </c:pt>
                <c:pt idx="198">
                  <c:v>2.5115949999999998</c:v>
                </c:pt>
                <c:pt idx="199">
                  <c:v>2.5224679999999999</c:v>
                </c:pt>
                <c:pt idx="200">
                  <c:v>2.5202930000000001</c:v>
                </c:pt>
                <c:pt idx="201">
                  <c:v>2.5028959999999998</c:v>
                </c:pt>
                <c:pt idx="202">
                  <c:v>2.528991</c:v>
                </c:pt>
                <c:pt idx="203">
                  <c:v>2.5659580000000002</c:v>
                </c:pt>
                <c:pt idx="204">
                  <c:v>2.579005</c:v>
                </c:pt>
                <c:pt idx="205">
                  <c:v>2.5768309999999999</c:v>
                </c:pt>
                <c:pt idx="206">
                  <c:v>2.5964010000000002</c:v>
                </c:pt>
                <c:pt idx="207">
                  <c:v>2.5550860000000002</c:v>
                </c:pt>
                <c:pt idx="208">
                  <c:v>2.5224679999999999</c:v>
                </c:pt>
                <c:pt idx="209">
                  <c:v>2.5007220000000001</c:v>
                </c:pt>
                <c:pt idx="210">
                  <c:v>2.528991</c:v>
                </c:pt>
                <c:pt idx="211">
                  <c:v>2.4811510000000001</c:v>
                </c:pt>
                <c:pt idx="212">
                  <c:v>2.4789759999999998</c:v>
                </c:pt>
                <c:pt idx="213">
                  <c:v>2.50942</c:v>
                </c:pt>
                <c:pt idx="214">
                  <c:v>2.4746269999999999</c:v>
                </c:pt>
                <c:pt idx="215">
                  <c:v>2.4855</c:v>
                </c:pt>
                <c:pt idx="216">
                  <c:v>2.4572310000000002</c:v>
                </c:pt>
                <c:pt idx="217">
                  <c:v>2.450707</c:v>
                </c:pt>
                <c:pt idx="218">
                  <c:v>2.4811510000000001</c:v>
                </c:pt>
                <c:pt idx="219">
                  <c:v>2.5007220000000001</c:v>
                </c:pt>
                <c:pt idx="220">
                  <c:v>2.5028959999999998</c:v>
                </c:pt>
                <c:pt idx="221">
                  <c:v>2.5072450000000002</c:v>
                </c:pt>
                <c:pt idx="222">
                  <c:v>2.5529109999999999</c:v>
                </c:pt>
                <c:pt idx="223">
                  <c:v>2.5594350000000001</c:v>
                </c:pt>
                <c:pt idx="224">
                  <c:v>2.5333399999999999</c:v>
                </c:pt>
                <c:pt idx="225">
                  <c:v>2.5877029999999999</c:v>
                </c:pt>
                <c:pt idx="226">
                  <c:v>2.5594350000000001</c:v>
                </c:pt>
                <c:pt idx="227">
                  <c:v>2.5311650000000001</c:v>
                </c:pt>
                <c:pt idx="228">
                  <c:v>2.598576</c:v>
                </c:pt>
                <c:pt idx="229">
                  <c:v>2.6507649999999998</c:v>
                </c:pt>
                <c:pt idx="230">
                  <c:v>2.618147</c:v>
                </c:pt>
                <c:pt idx="231">
                  <c:v>2.618147</c:v>
                </c:pt>
                <c:pt idx="232">
                  <c:v>2.6268449999999999</c:v>
                </c:pt>
                <c:pt idx="233">
                  <c:v>2.6268449999999999</c:v>
                </c:pt>
                <c:pt idx="234">
                  <c:v>2.5572599999999999</c:v>
                </c:pt>
                <c:pt idx="235">
                  <c:v>2.5442130000000001</c:v>
                </c:pt>
                <c:pt idx="236">
                  <c:v>2.505071</c:v>
                </c:pt>
                <c:pt idx="237">
                  <c:v>2.548562</c:v>
                </c:pt>
                <c:pt idx="238">
                  <c:v>2.5376889999999999</c:v>
                </c:pt>
                <c:pt idx="239">
                  <c:v>2.5746560000000001</c:v>
                </c:pt>
                <c:pt idx="240">
                  <c:v>2.579005</c:v>
                </c:pt>
                <c:pt idx="241">
                  <c:v>2.5768309999999999</c:v>
                </c:pt>
                <c:pt idx="242">
                  <c:v>2.5898780000000001</c:v>
                </c:pt>
                <c:pt idx="243">
                  <c:v>2.618147</c:v>
                </c:pt>
                <c:pt idx="244">
                  <c:v>2.6311939999999998</c:v>
                </c:pt>
                <c:pt idx="245">
                  <c:v>2.7029540000000001</c:v>
                </c:pt>
                <c:pt idx="246">
                  <c:v>2.668161</c:v>
                </c:pt>
                <c:pt idx="247">
                  <c:v>2.6899069999999998</c:v>
                </c:pt>
                <c:pt idx="248">
                  <c:v>2.6355430000000002</c:v>
                </c:pt>
                <c:pt idx="249">
                  <c:v>2.6398929999999998</c:v>
                </c:pt>
                <c:pt idx="250">
                  <c:v>2.6703359999999998</c:v>
                </c:pt>
                <c:pt idx="251">
                  <c:v>2.6268449999999999</c:v>
                </c:pt>
                <c:pt idx="252">
                  <c:v>2.6311939999999998</c:v>
                </c:pt>
                <c:pt idx="253">
                  <c:v>2.6268449999999999</c:v>
                </c:pt>
                <c:pt idx="254">
                  <c:v>2.6659869999999999</c:v>
                </c:pt>
                <c:pt idx="255">
                  <c:v>2.6311939999999998</c:v>
                </c:pt>
                <c:pt idx="256">
                  <c:v>2.6833830000000001</c:v>
                </c:pt>
                <c:pt idx="257">
                  <c:v>2.657289</c:v>
                </c:pt>
                <c:pt idx="258">
                  <c:v>2.6159720000000002</c:v>
                </c:pt>
                <c:pt idx="259">
                  <c:v>2.6290200000000001</c:v>
                </c:pt>
                <c:pt idx="260">
                  <c:v>2.6398929999999998</c:v>
                </c:pt>
                <c:pt idx="261">
                  <c:v>2.6007509999999998</c:v>
                </c:pt>
                <c:pt idx="262">
                  <c:v>2.5442130000000001</c:v>
                </c:pt>
                <c:pt idx="263">
                  <c:v>2.6094490000000001</c:v>
                </c:pt>
                <c:pt idx="264">
                  <c:v>2.6159720000000002</c:v>
                </c:pt>
                <c:pt idx="265">
                  <c:v>2.6442420000000002</c:v>
                </c:pt>
                <c:pt idx="266">
                  <c:v>2.6094490000000001</c:v>
                </c:pt>
                <c:pt idx="267">
                  <c:v>2.6094490000000001</c:v>
                </c:pt>
                <c:pt idx="268">
                  <c:v>2.6224959999999999</c:v>
                </c:pt>
                <c:pt idx="269">
                  <c:v>2.70078</c:v>
                </c:pt>
                <c:pt idx="270">
                  <c:v>2.6833830000000001</c:v>
                </c:pt>
                <c:pt idx="271">
                  <c:v>2.6920809999999999</c:v>
                </c:pt>
                <c:pt idx="272">
                  <c:v>2.6703359999999998</c:v>
                </c:pt>
                <c:pt idx="273">
                  <c:v>2.6507649999999998</c:v>
                </c:pt>
                <c:pt idx="274">
                  <c:v>2.6942560000000002</c:v>
                </c:pt>
                <c:pt idx="275">
                  <c:v>2.7573180000000002</c:v>
                </c:pt>
                <c:pt idx="276">
                  <c:v>2.70078</c:v>
                </c:pt>
                <c:pt idx="277">
                  <c:v>2.6812079999999998</c:v>
                </c:pt>
                <c:pt idx="278">
                  <c:v>2.6268449999999999</c:v>
                </c:pt>
                <c:pt idx="279">
                  <c:v>2.5877029999999999</c:v>
                </c:pt>
                <c:pt idx="280">
                  <c:v>2.618147</c:v>
                </c:pt>
                <c:pt idx="281">
                  <c:v>2.5855290000000002</c:v>
                </c:pt>
                <c:pt idx="282">
                  <c:v>2.5703070000000001</c:v>
                </c:pt>
                <c:pt idx="283">
                  <c:v>2.6103990000000001</c:v>
                </c:pt>
                <c:pt idx="284">
                  <c:v>2.6126260000000001</c:v>
                </c:pt>
                <c:pt idx="285">
                  <c:v>2.6371259999999999</c:v>
                </c:pt>
                <c:pt idx="286">
                  <c:v>2.5346700000000002</c:v>
                </c:pt>
                <c:pt idx="287">
                  <c:v>2.5480339999999999</c:v>
                </c:pt>
                <c:pt idx="288">
                  <c:v>2.5836709999999998</c:v>
                </c:pt>
                <c:pt idx="289">
                  <c:v>2.6237629999999998</c:v>
                </c:pt>
                <c:pt idx="290">
                  <c:v>2.5613980000000001</c:v>
                </c:pt>
                <c:pt idx="291">
                  <c:v>2.563625</c:v>
                </c:pt>
                <c:pt idx="292">
                  <c:v>2.5502609999999999</c:v>
                </c:pt>
                <c:pt idx="293">
                  <c:v>2.5302159999999998</c:v>
                </c:pt>
                <c:pt idx="294">
                  <c:v>2.5346700000000002</c:v>
                </c:pt>
                <c:pt idx="295">
                  <c:v>2.51017</c:v>
                </c:pt>
                <c:pt idx="296">
                  <c:v>2.4834420000000001</c:v>
                </c:pt>
                <c:pt idx="297">
                  <c:v>2.5057149999999999</c:v>
                </c:pt>
                <c:pt idx="298">
                  <c:v>2.467851</c:v>
                </c:pt>
                <c:pt idx="299">
                  <c:v>2.4344420000000002</c:v>
                </c:pt>
                <c:pt idx="300">
                  <c:v>2.4723060000000001</c:v>
                </c:pt>
                <c:pt idx="301">
                  <c:v>2.4923519999999999</c:v>
                </c:pt>
                <c:pt idx="302">
                  <c:v>2.552489</c:v>
                </c:pt>
                <c:pt idx="303">
                  <c:v>2.6014900000000001</c:v>
                </c:pt>
                <c:pt idx="304">
                  <c:v>2.5903529999999999</c:v>
                </c:pt>
                <c:pt idx="305">
                  <c:v>2.5858979999999998</c:v>
                </c:pt>
                <c:pt idx="306">
                  <c:v>2.5235340000000002</c:v>
                </c:pt>
                <c:pt idx="307">
                  <c:v>2.4723060000000001</c:v>
                </c:pt>
                <c:pt idx="308">
                  <c:v>2.465624</c:v>
                </c:pt>
                <c:pt idx="309">
                  <c:v>2.458942</c:v>
                </c:pt>
                <c:pt idx="310">
                  <c:v>2.4567139999999998</c:v>
                </c:pt>
                <c:pt idx="311">
                  <c:v>2.4968059999999999</c:v>
                </c:pt>
                <c:pt idx="312">
                  <c:v>2.4789880000000002</c:v>
                </c:pt>
                <c:pt idx="313">
                  <c:v>2.4878969999999998</c:v>
                </c:pt>
                <c:pt idx="314">
                  <c:v>2.4923519999999999</c:v>
                </c:pt>
                <c:pt idx="315">
                  <c:v>2.4322140000000001</c:v>
                </c:pt>
                <c:pt idx="316">
                  <c:v>2.499034</c:v>
                </c:pt>
                <c:pt idx="317">
                  <c:v>2.458942</c:v>
                </c:pt>
                <c:pt idx="318">
                  <c:v>2.5057149999999999</c:v>
                </c:pt>
                <c:pt idx="319">
                  <c:v>2.4923519999999999</c:v>
                </c:pt>
                <c:pt idx="320">
                  <c:v>2.5034879999999999</c:v>
                </c:pt>
                <c:pt idx="321">
                  <c:v>2.4923519999999999</c:v>
                </c:pt>
                <c:pt idx="322">
                  <c:v>2.4611689999999999</c:v>
                </c:pt>
                <c:pt idx="323">
                  <c:v>2.514624</c:v>
                </c:pt>
                <c:pt idx="324">
                  <c:v>2.5814439999999998</c:v>
                </c:pt>
                <c:pt idx="325">
                  <c:v>2.5814439999999998</c:v>
                </c:pt>
                <c:pt idx="326">
                  <c:v>2.5324430000000002</c:v>
                </c:pt>
                <c:pt idx="327">
                  <c:v>2.5346700000000002</c:v>
                </c:pt>
                <c:pt idx="328">
                  <c:v>2.5680800000000001</c:v>
                </c:pt>
                <c:pt idx="329">
                  <c:v>2.552489</c:v>
                </c:pt>
                <c:pt idx="330">
                  <c:v>2.5836709999999998</c:v>
                </c:pt>
                <c:pt idx="331">
                  <c:v>2.5413519999999998</c:v>
                </c:pt>
                <c:pt idx="332">
                  <c:v>2.5235340000000002</c:v>
                </c:pt>
                <c:pt idx="333">
                  <c:v>2.5480339999999999</c:v>
                </c:pt>
                <c:pt idx="334">
                  <c:v>2.599262</c:v>
                </c:pt>
                <c:pt idx="335">
                  <c:v>2.5881259999999999</c:v>
                </c:pt>
                <c:pt idx="336">
                  <c:v>2.6014900000000001</c:v>
                </c:pt>
                <c:pt idx="337">
                  <c:v>2.5747620000000002</c:v>
                </c:pt>
                <c:pt idx="338">
                  <c:v>2.6438079999999999</c:v>
                </c:pt>
                <c:pt idx="339">
                  <c:v>2.7529460000000001</c:v>
                </c:pt>
                <c:pt idx="340">
                  <c:v>2.7351269999999999</c:v>
                </c:pt>
                <c:pt idx="341">
                  <c:v>2.7262179999999998</c:v>
                </c:pt>
                <c:pt idx="342">
                  <c:v>2.7150820000000002</c:v>
                </c:pt>
                <c:pt idx="343">
                  <c:v>2.739582</c:v>
                </c:pt>
                <c:pt idx="344">
                  <c:v>2.7596280000000002</c:v>
                </c:pt>
                <c:pt idx="345">
                  <c:v>2.7707649999999999</c:v>
                </c:pt>
                <c:pt idx="346">
                  <c:v>2.779674</c:v>
                </c:pt>
                <c:pt idx="347">
                  <c:v>2.7551739999999998</c:v>
                </c:pt>
                <c:pt idx="348">
                  <c:v>2.7017180000000001</c:v>
                </c:pt>
                <c:pt idx="349">
                  <c:v>2.6705359999999998</c:v>
                </c:pt>
                <c:pt idx="350">
                  <c:v>2.7351269999999999</c:v>
                </c:pt>
                <c:pt idx="351">
                  <c:v>2.7128549999999998</c:v>
                </c:pt>
                <c:pt idx="352">
                  <c:v>2.6683080000000001</c:v>
                </c:pt>
                <c:pt idx="353">
                  <c:v>2.65049</c:v>
                </c:pt>
                <c:pt idx="354">
                  <c:v>2.690582</c:v>
                </c:pt>
                <c:pt idx="355">
                  <c:v>2.697263</c:v>
                </c:pt>
                <c:pt idx="356">
                  <c:v>2.6727630000000002</c:v>
                </c:pt>
                <c:pt idx="357">
                  <c:v>2.7061730000000002</c:v>
                </c:pt>
                <c:pt idx="358">
                  <c:v>2.7039460000000002</c:v>
                </c:pt>
                <c:pt idx="359">
                  <c:v>2.641581</c:v>
                </c:pt>
                <c:pt idx="360">
                  <c:v>2.7084000000000001</c:v>
                </c:pt>
                <c:pt idx="361">
                  <c:v>2.7574010000000002</c:v>
                </c:pt>
                <c:pt idx="362">
                  <c:v>2.7752189999999999</c:v>
                </c:pt>
                <c:pt idx="363">
                  <c:v>2.8153100000000002</c:v>
                </c:pt>
                <c:pt idx="364">
                  <c:v>2.8398110000000001</c:v>
                </c:pt>
                <c:pt idx="365">
                  <c:v>2.8665389999999999</c:v>
                </c:pt>
                <c:pt idx="366">
                  <c:v>2.8821300000000001</c:v>
                </c:pt>
                <c:pt idx="367">
                  <c:v>2.9400390000000001</c:v>
                </c:pt>
                <c:pt idx="368">
                  <c:v>2.9556309999999999</c:v>
                </c:pt>
                <c:pt idx="369">
                  <c:v>2.8643109999999998</c:v>
                </c:pt>
                <c:pt idx="370">
                  <c:v>2.8442660000000002</c:v>
                </c:pt>
                <c:pt idx="371">
                  <c:v>2.8821300000000001</c:v>
                </c:pt>
                <c:pt idx="372">
                  <c:v>2.9177659999999999</c:v>
                </c:pt>
                <c:pt idx="373">
                  <c:v>2.919994</c:v>
                </c:pt>
                <c:pt idx="374">
                  <c:v>2.919994</c:v>
                </c:pt>
                <c:pt idx="375">
                  <c:v>2.8732199999999999</c:v>
                </c:pt>
                <c:pt idx="376">
                  <c:v>2.8487200000000001</c:v>
                </c:pt>
                <c:pt idx="377">
                  <c:v>2.8554020000000002</c:v>
                </c:pt>
                <c:pt idx="378">
                  <c:v>2.879902</c:v>
                </c:pt>
                <c:pt idx="379">
                  <c:v>2.8932660000000001</c:v>
                </c:pt>
                <c:pt idx="380">
                  <c:v>2.8999480000000002</c:v>
                </c:pt>
                <c:pt idx="381">
                  <c:v>2.93113</c:v>
                </c:pt>
                <c:pt idx="382">
                  <c:v>2.8754469999999999</c:v>
                </c:pt>
                <c:pt idx="383">
                  <c:v>2.8999480000000002</c:v>
                </c:pt>
                <c:pt idx="384">
                  <c:v>2.9133110000000002</c:v>
                </c:pt>
                <c:pt idx="385">
                  <c:v>2.8932660000000001</c:v>
                </c:pt>
                <c:pt idx="386">
                  <c:v>2.8509479999999998</c:v>
                </c:pt>
                <c:pt idx="387">
                  <c:v>2.8531740000000001</c:v>
                </c:pt>
                <c:pt idx="388">
                  <c:v>2.877675</c:v>
                </c:pt>
                <c:pt idx="389">
                  <c:v>2.879902</c:v>
                </c:pt>
                <c:pt idx="390">
                  <c:v>2.8732199999999999</c:v>
                </c:pt>
                <c:pt idx="391">
                  <c:v>2.879902</c:v>
                </c:pt>
                <c:pt idx="392">
                  <c:v>2.8665389999999999</c:v>
                </c:pt>
                <c:pt idx="393">
                  <c:v>2.9044020000000002</c:v>
                </c:pt>
                <c:pt idx="394">
                  <c:v>2.830902</c:v>
                </c:pt>
                <c:pt idx="395">
                  <c:v>2.8286750000000001</c:v>
                </c:pt>
                <c:pt idx="396">
                  <c:v>2.7974920000000001</c:v>
                </c:pt>
                <c:pt idx="397">
                  <c:v>2.8197649999999999</c:v>
                </c:pt>
                <c:pt idx="398">
                  <c:v>2.8954939999999998</c:v>
                </c:pt>
                <c:pt idx="399">
                  <c:v>2.8442660000000002</c:v>
                </c:pt>
                <c:pt idx="400">
                  <c:v>2.8598569999999999</c:v>
                </c:pt>
                <c:pt idx="401">
                  <c:v>2.8420380000000001</c:v>
                </c:pt>
                <c:pt idx="402">
                  <c:v>2.8531740000000001</c:v>
                </c:pt>
                <c:pt idx="403">
                  <c:v>2.8420380000000001</c:v>
                </c:pt>
                <c:pt idx="404">
                  <c:v>2.8420380000000001</c:v>
                </c:pt>
                <c:pt idx="405">
                  <c:v>2.8175379999999999</c:v>
                </c:pt>
                <c:pt idx="406">
                  <c:v>2.8264469999999999</c:v>
                </c:pt>
                <c:pt idx="407">
                  <c:v>2.8554020000000002</c:v>
                </c:pt>
                <c:pt idx="408">
                  <c:v>2.8442660000000002</c:v>
                </c:pt>
                <c:pt idx="409">
                  <c:v>2.8509479999999998</c:v>
                </c:pt>
                <c:pt idx="410">
                  <c:v>2.7663099999999998</c:v>
                </c:pt>
                <c:pt idx="411">
                  <c:v>2.739582</c:v>
                </c:pt>
                <c:pt idx="412">
                  <c:v>2.7663099999999998</c:v>
                </c:pt>
                <c:pt idx="413">
                  <c:v>2.7173090000000002</c:v>
                </c:pt>
                <c:pt idx="414">
                  <c:v>2.7150820000000002</c:v>
                </c:pt>
                <c:pt idx="415">
                  <c:v>2.6994910000000001</c:v>
                </c:pt>
                <c:pt idx="416">
                  <c:v>2.6794449999999999</c:v>
                </c:pt>
                <c:pt idx="417">
                  <c:v>2.6994910000000001</c:v>
                </c:pt>
                <c:pt idx="418">
                  <c:v>2.6838989999999998</c:v>
                </c:pt>
                <c:pt idx="419">
                  <c:v>2.681673</c:v>
                </c:pt>
                <c:pt idx="420">
                  <c:v>2.6348989999999999</c:v>
                </c:pt>
                <c:pt idx="421">
                  <c:v>2.641581</c:v>
                </c:pt>
                <c:pt idx="422">
                  <c:v>2.6037170000000001</c:v>
                </c:pt>
                <c:pt idx="423">
                  <c:v>2.5480339999999999</c:v>
                </c:pt>
                <c:pt idx="424">
                  <c:v>2.5613980000000001</c:v>
                </c:pt>
                <c:pt idx="425">
                  <c:v>2.5613980000000001</c:v>
                </c:pt>
                <c:pt idx="426">
                  <c:v>2.599262</c:v>
                </c:pt>
                <c:pt idx="427">
                  <c:v>2.6170810000000002</c:v>
                </c:pt>
                <c:pt idx="428">
                  <c:v>2.5814439999999998</c:v>
                </c:pt>
                <c:pt idx="429">
                  <c:v>2.5747620000000002</c:v>
                </c:pt>
                <c:pt idx="430">
                  <c:v>2.5257610000000001</c:v>
                </c:pt>
                <c:pt idx="431">
                  <c:v>2.5769890000000002</c:v>
                </c:pt>
                <c:pt idx="432">
                  <c:v>2.6259899999999998</c:v>
                </c:pt>
                <c:pt idx="433">
                  <c:v>2.599262</c:v>
                </c:pt>
                <c:pt idx="434">
                  <c:v>2.6282169999999998</c:v>
                </c:pt>
                <c:pt idx="435">
                  <c:v>2.6549450000000001</c:v>
                </c:pt>
                <c:pt idx="436">
                  <c:v>2.6571720000000001</c:v>
                </c:pt>
                <c:pt idx="437">
                  <c:v>2.6683080000000001</c:v>
                </c:pt>
                <c:pt idx="438">
                  <c:v>2.6772179999999999</c:v>
                </c:pt>
                <c:pt idx="439">
                  <c:v>2.7084000000000001</c:v>
                </c:pt>
                <c:pt idx="440">
                  <c:v>2.7017180000000001</c:v>
                </c:pt>
                <c:pt idx="441">
                  <c:v>2.7173090000000002</c:v>
                </c:pt>
                <c:pt idx="442">
                  <c:v>2.7239909999999998</c:v>
                </c:pt>
                <c:pt idx="443">
                  <c:v>2.7173090000000002</c:v>
                </c:pt>
                <c:pt idx="444">
                  <c:v>2.6749900000000002</c:v>
                </c:pt>
                <c:pt idx="445">
                  <c:v>2.7106270000000001</c:v>
                </c:pt>
                <c:pt idx="446">
                  <c:v>2.7484920000000002</c:v>
                </c:pt>
                <c:pt idx="447">
                  <c:v>2.8108559999999998</c:v>
                </c:pt>
                <c:pt idx="448">
                  <c:v>2.795264</c:v>
                </c:pt>
                <c:pt idx="449">
                  <c:v>2.7618550000000002</c:v>
                </c:pt>
                <c:pt idx="450">
                  <c:v>2.7596280000000002</c:v>
                </c:pt>
                <c:pt idx="451">
                  <c:v>2.7707649999999999</c:v>
                </c:pt>
                <c:pt idx="452">
                  <c:v>2.7752189999999999</c:v>
                </c:pt>
                <c:pt idx="453">
                  <c:v>2.7707649999999999</c:v>
                </c:pt>
                <c:pt idx="454">
                  <c:v>2.7685369999999998</c:v>
                </c:pt>
                <c:pt idx="455">
                  <c:v>2.739582</c:v>
                </c:pt>
                <c:pt idx="456">
                  <c:v>2.7017180000000001</c:v>
                </c:pt>
                <c:pt idx="457">
                  <c:v>2.7017180000000001</c:v>
                </c:pt>
                <c:pt idx="458">
                  <c:v>2.7418100000000001</c:v>
                </c:pt>
                <c:pt idx="459">
                  <c:v>2.697263</c:v>
                </c:pt>
                <c:pt idx="460">
                  <c:v>2.6348989999999999</c:v>
                </c:pt>
                <c:pt idx="461">
                  <c:v>2.6371259999999999</c:v>
                </c:pt>
                <c:pt idx="462">
                  <c:v>2.6037170000000001</c:v>
                </c:pt>
                <c:pt idx="463">
                  <c:v>2.6215350000000002</c:v>
                </c:pt>
                <c:pt idx="464">
                  <c:v>2.608171</c:v>
                </c:pt>
                <c:pt idx="465">
                  <c:v>2.681673</c:v>
                </c:pt>
                <c:pt idx="466">
                  <c:v>2.6749900000000002</c:v>
                </c:pt>
                <c:pt idx="467">
                  <c:v>2.6616270000000002</c:v>
                </c:pt>
                <c:pt idx="468">
                  <c:v>2.6727630000000002</c:v>
                </c:pt>
                <c:pt idx="469">
                  <c:v>2.7173090000000002</c:v>
                </c:pt>
                <c:pt idx="470">
                  <c:v>2.7217639999999999</c:v>
                </c:pt>
                <c:pt idx="471">
                  <c:v>2.7752189999999999</c:v>
                </c:pt>
                <c:pt idx="472">
                  <c:v>2.7440359999999999</c:v>
                </c:pt>
                <c:pt idx="473">
                  <c:v>2.7084000000000001</c:v>
                </c:pt>
                <c:pt idx="474">
                  <c:v>2.7106270000000001</c:v>
                </c:pt>
                <c:pt idx="475">
                  <c:v>2.7418100000000001</c:v>
                </c:pt>
                <c:pt idx="476">
                  <c:v>2.739582</c:v>
                </c:pt>
                <c:pt idx="477">
                  <c:v>2.7484920000000002</c:v>
                </c:pt>
                <c:pt idx="478">
                  <c:v>2.7618550000000002</c:v>
                </c:pt>
                <c:pt idx="479">
                  <c:v>2.7707649999999999</c:v>
                </c:pt>
                <c:pt idx="480">
                  <c:v>2.7707649999999999</c:v>
                </c:pt>
                <c:pt idx="481">
                  <c:v>2.7551739999999998</c:v>
                </c:pt>
                <c:pt idx="482">
                  <c:v>2.6861269999999999</c:v>
                </c:pt>
                <c:pt idx="483">
                  <c:v>2.739582</c:v>
                </c:pt>
                <c:pt idx="484">
                  <c:v>2.7284459999999999</c:v>
                </c:pt>
                <c:pt idx="485">
                  <c:v>2.7239909999999998</c:v>
                </c:pt>
                <c:pt idx="486">
                  <c:v>2.7061730000000002</c:v>
                </c:pt>
                <c:pt idx="487">
                  <c:v>2.7173090000000002</c:v>
                </c:pt>
                <c:pt idx="488">
                  <c:v>2.746264</c:v>
                </c:pt>
                <c:pt idx="489">
                  <c:v>2.6371259999999999</c:v>
                </c:pt>
                <c:pt idx="490">
                  <c:v>2.6148530000000001</c:v>
                </c:pt>
                <c:pt idx="491">
                  <c:v>2.5658530000000002</c:v>
                </c:pt>
                <c:pt idx="492">
                  <c:v>2.5814439999999998</c:v>
                </c:pt>
                <c:pt idx="493">
                  <c:v>2.597035</c:v>
                </c:pt>
                <c:pt idx="494">
                  <c:v>2.5792160000000002</c:v>
                </c:pt>
                <c:pt idx="495">
                  <c:v>2.5814439999999998</c:v>
                </c:pt>
                <c:pt idx="496">
                  <c:v>2.5613980000000001</c:v>
                </c:pt>
                <c:pt idx="497">
                  <c:v>2.54358</c:v>
                </c:pt>
                <c:pt idx="498">
                  <c:v>2.5747620000000002</c:v>
                </c:pt>
                <c:pt idx="499">
                  <c:v>2.6103990000000001</c:v>
                </c:pt>
                <c:pt idx="500">
                  <c:v>2.6237629999999998</c:v>
                </c:pt>
                <c:pt idx="501">
                  <c:v>2.6371259999999999</c:v>
                </c:pt>
                <c:pt idx="502">
                  <c:v>2.65049</c:v>
                </c:pt>
                <c:pt idx="503">
                  <c:v>2.6304449999999999</c:v>
                </c:pt>
                <c:pt idx="504">
                  <c:v>2.605944</c:v>
                </c:pt>
                <c:pt idx="505">
                  <c:v>2.6683080000000001</c:v>
                </c:pt>
                <c:pt idx="506">
                  <c:v>2.737355</c:v>
                </c:pt>
                <c:pt idx="507">
                  <c:v>2.7039460000000002</c:v>
                </c:pt>
                <c:pt idx="508">
                  <c:v>2.7084000000000001</c:v>
                </c:pt>
                <c:pt idx="509">
                  <c:v>2.697263</c:v>
                </c:pt>
                <c:pt idx="510">
                  <c:v>2.690582</c:v>
                </c:pt>
                <c:pt idx="511">
                  <c:v>2.7061730000000002</c:v>
                </c:pt>
                <c:pt idx="512">
                  <c:v>2.7729910000000002</c:v>
                </c:pt>
                <c:pt idx="513">
                  <c:v>2.7418100000000001</c:v>
                </c:pt>
                <c:pt idx="514">
                  <c:v>2.8153100000000002</c:v>
                </c:pt>
                <c:pt idx="515">
                  <c:v>2.7306729999999999</c:v>
                </c:pt>
                <c:pt idx="516">
                  <c:v>2.788583</c:v>
                </c:pt>
                <c:pt idx="517">
                  <c:v>2.737355</c:v>
                </c:pt>
                <c:pt idx="518">
                  <c:v>2.7351269999999999</c:v>
                </c:pt>
                <c:pt idx="519">
                  <c:v>2.739582</c:v>
                </c:pt>
                <c:pt idx="520">
                  <c:v>2.7618550000000002</c:v>
                </c:pt>
                <c:pt idx="521">
                  <c:v>2.7997190000000001</c:v>
                </c:pt>
                <c:pt idx="522">
                  <c:v>2.788583</c:v>
                </c:pt>
                <c:pt idx="523">
                  <c:v>2.7997190000000001</c:v>
                </c:pt>
                <c:pt idx="524">
                  <c:v>2.8041740000000002</c:v>
                </c:pt>
                <c:pt idx="525">
                  <c:v>2.7707649999999999</c:v>
                </c:pt>
                <c:pt idx="526">
                  <c:v>2.7663099999999998</c:v>
                </c:pt>
                <c:pt idx="527">
                  <c:v>2.7841279999999999</c:v>
                </c:pt>
                <c:pt idx="528">
                  <c:v>2.788583</c:v>
                </c:pt>
                <c:pt idx="529">
                  <c:v>2.7640820000000001</c:v>
                </c:pt>
                <c:pt idx="530">
                  <c:v>2.6593990000000001</c:v>
                </c:pt>
                <c:pt idx="531">
                  <c:v>2.7061730000000002</c:v>
                </c:pt>
                <c:pt idx="532">
                  <c:v>2.6660810000000001</c:v>
                </c:pt>
                <c:pt idx="533">
                  <c:v>2.7195369999999999</c:v>
                </c:pt>
                <c:pt idx="534">
                  <c:v>2.7424089999999999</c:v>
                </c:pt>
                <c:pt idx="535">
                  <c:v>2.7446959999999998</c:v>
                </c:pt>
                <c:pt idx="536">
                  <c:v>2.7744300000000002</c:v>
                </c:pt>
                <c:pt idx="537">
                  <c:v>2.760707</c:v>
                </c:pt>
                <c:pt idx="538">
                  <c:v>2.7835800000000002</c:v>
                </c:pt>
                <c:pt idx="539">
                  <c:v>2.84076</c:v>
                </c:pt>
                <c:pt idx="540">
                  <c:v>2.815601</c:v>
                </c:pt>
                <c:pt idx="541">
                  <c:v>2.8247499999999999</c:v>
                </c:pt>
                <c:pt idx="542">
                  <c:v>2.868207</c:v>
                </c:pt>
                <c:pt idx="543">
                  <c:v>2.870495</c:v>
                </c:pt>
                <c:pt idx="544">
                  <c:v>2.870495</c:v>
                </c:pt>
                <c:pt idx="545">
                  <c:v>2.8178879999999999</c:v>
                </c:pt>
                <c:pt idx="546">
                  <c:v>2.7995899999999998</c:v>
                </c:pt>
                <c:pt idx="547">
                  <c:v>2.84076</c:v>
                </c:pt>
                <c:pt idx="548">
                  <c:v>2.8361860000000001</c:v>
                </c:pt>
                <c:pt idx="549">
                  <c:v>2.86592</c:v>
                </c:pt>
                <c:pt idx="550">
                  <c:v>2.868207</c:v>
                </c:pt>
                <c:pt idx="551">
                  <c:v>2.8590580000000001</c:v>
                </c:pt>
                <c:pt idx="552">
                  <c:v>2.8636330000000001</c:v>
                </c:pt>
                <c:pt idx="553">
                  <c:v>2.84076</c:v>
                </c:pt>
                <c:pt idx="554">
                  <c:v>2.843048</c:v>
                </c:pt>
                <c:pt idx="555">
                  <c:v>2.8499099999999999</c:v>
                </c:pt>
                <c:pt idx="556">
                  <c:v>2.8910800000000001</c:v>
                </c:pt>
                <c:pt idx="557">
                  <c:v>2.9231020000000001</c:v>
                </c:pt>
                <c:pt idx="558">
                  <c:v>2.9322499999999998</c:v>
                </c:pt>
                <c:pt idx="559">
                  <c:v>2.9231020000000001</c:v>
                </c:pt>
                <c:pt idx="560">
                  <c:v>2.9368249999999998</c:v>
                </c:pt>
                <c:pt idx="561">
                  <c:v>2.9185270000000001</c:v>
                </c:pt>
                <c:pt idx="562">
                  <c:v>2.9139529999999998</c:v>
                </c:pt>
                <c:pt idx="563">
                  <c:v>2.8887930000000002</c:v>
                </c:pt>
                <c:pt idx="564">
                  <c:v>2.8910800000000001</c:v>
                </c:pt>
                <c:pt idx="565">
                  <c:v>2.8567710000000002</c:v>
                </c:pt>
                <c:pt idx="566">
                  <c:v>2.8819309999999998</c:v>
                </c:pt>
                <c:pt idx="567">
                  <c:v>2.9002289999999999</c:v>
                </c:pt>
                <c:pt idx="568">
                  <c:v>2.870495</c:v>
                </c:pt>
                <c:pt idx="569">
                  <c:v>2.8201749999999999</c:v>
                </c:pt>
                <c:pt idx="570">
                  <c:v>2.7904409999999999</c:v>
                </c:pt>
                <c:pt idx="571">
                  <c:v>2.8041649999999998</c:v>
                </c:pt>
                <c:pt idx="572">
                  <c:v>2.7035260000000001</c:v>
                </c:pt>
                <c:pt idx="573">
                  <c:v>2.7584200000000001</c:v>
                </c:pt>
                <c:pt idx="574">
                  <c:v>2.7698559999999999</c:v>
                </c:pt>
                <c:pt idx="575">
                  <c:v>2.7012390000000002</c:v>
                </c:pt>
                <c:pt idx="576">
                  <c:v>2.7744300000000002</c:v>
                </c:pt>
                <c:pt idx="577">
                  <c:v>2.7446959999999998</c:v>
                </c:pt>
                <c:pt idx="578">
                  <c:v>2.7378339999999999</c:v>
                </c:pt>
                <c:pt idx="579">
                  <c:v>2.6966640000000002</c:v>
                </c:pt>
                <c:pt idx="580">
                  <c:v>2.7149619999999999</c:v>
                </c:pt>
                <c:pt idx="581">
                  <c:v>2.6989510000000001</c:v>
                </c:pt>
                <c:pt idx="582">
                  <c:v>2.705813</c:v>
                </c:pt>
                <c:pt idx="583">
                  <c:v>2.6852279999999999</c:v>
                </c:pt>
                <c:pt idx="584">
                  <c:v>2.6989510000000001</c:v>
                </c:pt>
                <c:pt idx="585">
                  <c:v>2.7149619999999999</c:v>
                </c:pt>
                <c:pt idx="586">
                  <c:v>2.6989510000000001</c:v>
                </c:pt>
                <c:pt idx="587">
                  <c:v>2.6692170000000002</c:v>
                </c:pt>
                <c:pt idx="588">
                  <c:v>2.650919</c:v>
                </c:pt>
                <c:pt idx="589">
                  <c:v>2.6669299999999998</c:v>
                </c:pt>
                <c:pt idx="590">
                  <c:v>2.6440570000000001</c:v>
                </c:pt>
                <c:pt idx="591">
                  <c:v>2.6074609999999998</c:v>
                </c:pt>
                <c:pt idx="592">
                  <c:v>2.568578</c:v>
                </c:pt>
                <c:pt idx="593">
                  <c:v>2.568578</c:v>
                </c:pt>
                <c:pt idx="594">
                  <c:v>2.5777269999999999</c:v>
                </c:pt>
                <c:pt idx="595">
                  <c:v>2.570865</c:v>
                </c:pt>
                <c:pt idx="596">
                  <c:v>2.570865</c:v>
                </c:pt>
                <c:pt idx="597">
                  <c:v>2.602887</c:v>
                </c:pt>
                <c:pt idx="598">
                  <c:v>2.6074609999999998</c:v>
                </c:pt>
                <c:pt idx="599">
                  <c:v>2.6394829999999998</c:v>
                </c:pt>
                <c:pt idx="600">
                  <c:v>2.6371950000000002</c:v>
                </c:pt>
                <c:pt idx="601">
                  <c:v>2.6692170000000002</c:v>
                </c:pt>
                <c:pt idx="602">
                  <c:v>2.6371950000000002</c:v>
                </c:pt>
                <c:pt idx="603">
                  <c:v>2.6943769999999998</c:v>
                </c:pt>
                <c:pt idx="604">
                  <c:v>2.7081</c:v>
                </c:pt>
                <c:pt idx="605">
                  <c:v>2.6966640000000002</c:v>
                </c:pt>
                <c:pt idx="606">
                  <c:v>2.6577809999999999</c:v>
                </c:pt>
                <c:pt idx="607">
                  <c:v>2.6829399999999999</c:v>
                </c:pt>
                <c:pt idx="608">
                  <c:v>2.6760790000000001</c:v>
                </c:pt>
                <c:pt idx="609">
                  <c:v>2.705813</c:v>
                </c:pt>
                <c:pt idx="610">
                  <c:v>2.7424089999999999</c:v>
                </c:pt>
                <c:pt idx="611">
                  <c:v>2.7675689999999999</c:v>
                </c:pt>
                <c:pt idx="612">
                  <c:v>2.7241110000000002</c:v>
                </c:pt>
                <c:pt idx="613">
                  <c:v>2.7126749999999999</c:v>
                </c:pt>
                <c:pt idx="614">
                  <c:v>2.6989510000000001</c:v>
                </c:pt>
                <c:pt idx="615">
                  <c:v>2.6898019999999998</c:v>
                </c:pt>
                <c:pt idx="616">
                  <c:v>2.6532070000000001</c:v>
                </c:pt>
                <c:pt idx="617">
                  <c:v>2.6326209999999999</c:v>
                </c:pt>
                <c:pt idx="618">
                  <c:v>2.6532070000000001</c:v>
                </c:pt>
                <c:pt idx="619">
                  <c:v>2.6669299999999998</c:v>
                </c:pt>
                <c:pt idx="620">
                  <c:v>2.6875149999999999</c:v>
                </c:pt>
                <c:pt idx="621">
                  <c:v>2.6669299999999998</c:v>
                </c:pt>
                <c:pt idx="622">
                  <c:v>2.6532070000000001</c:v>
                </c:pt>
                <c:pt idx="623">
                  <c:v>2.6532070000000001</c:v>
                </c:pt>
                <c:pt idx="624">
                  <c:v>2.602887</c:v>
                </c:pt>
                <c:pt idx="625">
                  <c:v>2.6097489999999999</c:v>
                </c:pt>
                <c:pt idx="626">
                  <c:v>2.570865</c:v>
                </c:pt>
                <c:pt idx="627">
                  <c:v>2.5777269999999999</c:v>
                </c:pt>
                <c:pt idx="628">
                  <c:v>2.5914510000000002</c:v>
                </c:pt>
                <c:pt idx="629">
                  <c:v>2.6143230000000002</c:v>
                </c:pt>
                <c:pt idx="630">
                  <c:v>2.57544</c:v>
                </c:pt>
                <c:pt idx="631">
                  <c:v>2.520546</c:v>
                </c:pt>
                <c:pt idx="632">
                  <c:v>2.547993</c:v>
                </c:pt>
                <c:pt idx="633">
                  <c:v>2.5296949999999998</c:v>
                </c:pt>
                <c:pt idx="634">
                  <c:v>2.5159720000000001</c:v>
                </c:pt>
                <c:pt idx="635">
                  <c:v>2.5091100000000002</c:v>
                </c:pt>
                <c:pt idx="636">
                  <c:v>2.536556</c:v>
                </c:pt>
                <c:pt idx="637">
                  <c:v>2.5640040000000002</c:v>
                </c:pt>
                <c:pt idx="638">
                  <c:v>2.4770880000000002</c:v>
                </c:pt>
                <c:pt idx="639">
                  <c:v>2.4816630000000002</c:v>
                </c:pt>
                <c:pt idx="640">
                  <c:v>2.403896</c:v>
                </c:pt>
                <c:pt idx="641">
                  <c:v>2.3695879999999998</c:v>
                </c:pt>
                <c:pt idx="642">
                  <c:v>2.4336310000000001</c:v>
                </c:pt>
                <c:pt idx="643">
                  <c:v>2.4404919999999999</c:v>
                </c:pt>
                <c:pt idx="644">
                  <c:v>2.4793759999999998</c:v>
                </c:pt>
                <c:pt idx="645">
                  <c:v>2.488524</c:v>
                </c:pt>
                <c:pt idx="646">
                  <c:v>2.5296949999999998</c:v>
                </c:pt>
                <c:pt idx="647">
                  <c:v>2.5091100000000002</c:v>
                </c:pt>
                <c:pt idx="648">
                  <c:v>2.4953859999999999</c:v>
                </c:pt>
                <c:pt idx="649">
                  <c:v>2.547993</c:v>
                </c:pt>
                <c:pt idx="650">
                  <c:v>2.5548549999999999</c:v>
                </c:pt>
                <c:pt idx="651">
                  <c:v>2.5617169999999998</c:v>
                </c:pt>
                <c:pt idx="652">
                  <c:v>2.623472</c:v>
                </c:pt>
                <c:pt idx="653">
                  <c:v>2.545706</c:v>
                </c:pt>
                <c:pt idx="654">
                  <c:v>2.5274070000000002</c:v>
                </c:pt>
                <c:pt idx="655">
                  <c:v>2.5868760000000002</c:v>
                </c:pt>
                <c:pt idx="656">
                  <c:v>2.5571419999999998</c:v>
                </c:pt>
                <c:pt idx="657">
                  <c:v>2.545706</c:v>
                </c:pt>
                <c:pt idx="658">
                  <c:v>2.5640040000000002</c:v>
                </c:pt>
                <c:pt idx="659">
                  <c:v>2.5548549999999999</c:v>
                </c:pt>
                <c:pt idx="660">
                  <c:v>2.4084699999999999</c:v>
                </c:pt>
                <c:pt idx="661">
                  <c:v>2.4016090000000001</c:v>
                </c:pt>
                <c:pt idx="662">
                  <c:v>2.4061840000000001</c:v>
                </c:pt>
                <c:pt idx="663">
                  <c:v>2.44278</c:v>
                </c:pt>
                <c:pt idx="664">
                  <c:v>2.4770880000000002</c:v>
                </c:pt>
                <c:pt idx="665">
                  <c:v>2.4725139999999999</c:v>
                </c:pt>
                <c:pt idx="666">
                  <c:v>2.4816630000000002</c:v>
                </c:pt>
                <c:pt idx="667">
                  <c:v>2.520546</c:v>
                </c:pt>
                <c:pt idx="668">
                  <c:v>2.5319820000000002</c:v>
                </c:pt>
                <c:pt idx="669">
                  <c:v>2.5274070000000002</c:v>
                </c:pt>
                <c:pt idx="670">
                  <c:v>2.541131</c:v>
                </c:pt>
                <c:pt idx="671">
                  <c:v>2.5594290000000002</c:v>
                </c:pt>
                <c:pt idx="672">
                  <c:v>2.570865</c:v>
                </c:pt>
                <c:pt idx="673">
                  <c:v>2.5571419999999998</c:v>
                </c:pt>
                <c:pt idx="674">
                  <c:v>2.573153</c:v>
                </c:pt>
                <c:pt idx="675">
                  <c:v>2.596025</c:v>
                </c:pt>
                <c:pt idx="676">
                  <c:v>2.5159720000000001</c:v>
                </c:pt>
                <c:pt idx="677">
                  <c:v>2.5823010000000002</c:v>
                </c:pt>
                <c:pt idx="678">
                  <c:v>2.5571419999999998</c:v>
                </c:pt>
                <c:pt idx="679">
                  <c:v>2.4679389999999999</c:v>
                </c:pt>
                <c:pt idx="680">
                  <c:v>2.465652</c:v>
                </c:pt>
                <c:pt idx="681">
                  <c:v>2.4542160000000002</c:v>
                </c:pt>
                <c:pt idx="682">
                  <c:v>2.3718750000000002</c:v>
                </c:pt>
                <c:pt idx="683">
                  <c:v>2.3558650000000001</c:v>
                </c:pt>
                <c:pt idx="684">
                  <c:v>2.387886</c:v>
                </c:pt>
                <c:pt idx="685">
                  <c:v>2.3375659999999998</c:v>
                </c:pt>
                <c:pt idx="686">
                  <c:v>2.305545</c:v>
                </c:pt>
                <c:pt idx="687">
                  <c:v>2.3238430000000001</c:v>
                </c:pt>
                <c:pt idx="688">
                  <c:v>2.353577</c:v>
                </c:pt>
                <c:pt idx="689">
                  <c:v>2.3650129999999998</c:v>
                </c:pt>
                <c:pt idx="690">
                  <c:v>2.3444280000000002</c:v>
                </c:pt>
                <c:pt idx="691">
                  <c:v>2.360439</c:v>
                </c:pt>
                <c:pt idx="692">
                  <c:v>2.3078319999999999</c:v>
                </c:pt>
                <c:pt idx="693">
                  <c:v>2.2552249999999998</c:v>
                </c:pt>
                <c:pt idx="694">
                  <c:v>2.3078319999999999</c:v>
                </c:pt>
                <c:pt idx="695">
                  <c:v>2.3307039999999999</c:v>
                </c:pt>
                <c:pt idx="696">
                  <c:v>2.4267690000000002</c:v>
                </c:pt>
                <c:pt idx="697">
                  <c:v>2.4176199999999999</c:v>
                </c:pt>
                <c:pt idx="698">
                  <c:v>2.435918</c:v>
                </c:pt>
                <c:pt idx="699">
                  <c:v>2.520546</c:v>
                </c:pt>
                <c:pt idx="700">
                  <c:v>2.4473539999999998</c:v>
                </c:pt>
                <c:pt idx="701">
                  <c:v>2.4839500000000001</c:v>
                </c:pt>
                <c:pt idx="702">
                  <c:v>2.518259</c:v>
                </c:pt>
                <c:pt idx="703">
                  <c:v>2.5159720000000001</c:v>
                </c:pt>
                <c:pt idx="704">
                  <c:v>2.5228329999999999</c:v>
                </c:pt>
                <c:pt idx="705">
                  <c:v>2.5548549999999999</c:v>
                </c:pt>
                <c:pt idx="706">
                  <c:v>2.6006</c:v>
                </c:pt>
                <c:pt idx="707">
                  <c:v>2.623472</c:v>
                </c:pt>
                <c:pt idx="708">
                  <c:v>2.6692170000000002</c:v>
                </c:pt>
                <c:pt idx="709">
                  <c:v>2.6577809999999999</c:v>
                </c:pt>
                <c:pt idx="710">
                  <c:v>2.6715040000000001</c:v>
                </c:pt>
                <c:pt idx="711">
                  <c:v>2.7812920000000001</c:v>
                </c:pt>
                <c:pt idx="712">
                  <c:v>2.7446959999999998</c:v>
                </c:pt>
                <c:pt idx="713">
                  <c:v>2.7515580000000002</c:v>
                </c:pt>
                <c:pt idx="714">
                  <c:v>2.7744300000000002</c:v>
                </c:pt>
                <c:pt idx="715">
                  <c:v>2.7584200000000001</c:v>
                </c:pt>
                <c:pt idx="716">
                  <c:v>2.7584200000000001</c:v>
                </c:pt>
                <c:pt idx="717">
                  <c:v>2.756132</c:v>
                </c:pt>
                <c:pt idx="718">
                  <c:v>2.7218239999999998</c:v>
                </c:pt>
                <c:pt idx="719">
                  <c:v>2.7446959999999998</c:v>
                </c:pt>
                <c:pt idx="720">
                  <c:v>2.7263980000000001</c:v>
                </c:pt>
                <c:pt idx="721">
                  <c:v>2.6989510000000001</c:v>
                </c:pt>
                <c:pt idx="722">
                  <c:v>2.7241110000000002</c:v>
                </c:pt>
                <c:pt idx="723">
                  <c:v>2.6920899999999999</c:v>
                </c:pt>
                <c:pt idx="724">
                  <c:v>2.6989510000000001</c:v>
                </c:pt>
                <c:pt idx="725">
                  <c:v>2.6989510000000001</c:v>
                </c:pt>
                <c:pt idx="726">
                  <c:v>2.6989510000000001</c:v>
                </c:pt>
                <c:pt idx="727">
                  <c:v>2.673791</c:v>
                </c:pt>
                <c:pt idx="728">
                  <c:v>2.7149619999999999</c:v>
                </c:pt>
                <c:pt idx="729">
                  <c:v>2.7401209999999998</c:v>
                </c:pt>
                <c:pt idx="730">
                  <c:v>2.7424089999999999</c:v>
                </c:pt>
                <c:pt idx="731">
                  <c:v>2.756132</c:v>
                </c:pt>
                <c:pt idx="732">
                  <c:v>2.7652809999999999</c:v>
                </c:pt>
                <c:pt idx="733">
                  <c:v>2.7675689999999999</c:v>
                </c:pt>
                <c:pt idx="734">
                  <c:v>2.7744300000000002</c:v>
                </c:pt>
                <c:pt idx="735">
                  <c:v>2.7858670000000001</c:v>
                </c:pt>
                <c:pt idx="736">
                  <c:v>2.7904409999999999</c:v>
                </c:pt>
                <c:pt idx="737">
                  <c:v>2.7904409999999999</c:v>
                </c:pt>
                <c:pt idx="738">
                  <c:v>2.7858670000000001</c:v>
                </c:pt>
                <c:pt idx="739">
                  <c:v>2.8316119999999998</c:v>
                </c:pt>
                <c:pt idx="740">
                  <c:v>2.9299629999999999</c:v>
                </c:pt>
                <c:pt idx="741">
                  <c:v>2.9574099999999999</c:v>
                </c:pt>
                <c:pt idx="742">
                  <c:v>2.9574099999999999</c:v>
                </c:pt>
                <c:pt idx="743">
                  <c:v>2.980283</c:v>
                </c:pt>
                <c:pt idx="744">
                  <c:v>2.9962930000000001</c:v>
                </c:pt>
                <c:pt idx="745">
                  <c:v>2.9848569999999999</c:v>
                </c:pt>
                <c:pt idx="746">
                  <c:v>2.99858</c:v>
                </c:pt>
                <c:pt idx="747">
                  <c:v>2.9917189999999998</c:v>
                </c:pt>
                <c:pt idx="748">
                  <c:v>2.9688469999999998</c:v>
                </c:pt>
                <c:pt idx="749">
                  <c:v>2.9391120000000002</c:v>
                </c:pt>
                <c:pt idx="750">
                  <c:v>2.9276759999999999</c:v>
                </c:pt>
                <c:pt idx="751">
                  <c:v>2.9276759999999999</c:v>
                </c:pt>
                <c:pt idx="752">
                  <c:v>2.9688469999999998</c:v>
                </c:pt>
                <c:pt idx="753">
                  <c:v>2.9962930000000001</c:v>
                </c:pt>
                <c:pt idx="754">
                  <c:v>2.9711340000000002</c:v>
                </c:pt>
                <c:pt idx="755">
                  <c:v>3.0832090000000001</c:v>
                </c:pt>
                <c:pt idx="756">
                  <c:v>3.1312410000000002</c:v>
                </c:pt>
                <c:pt idx="757">
                  <c:v>3.1724109999999999</c:v>
                </c:pt>
                <c:pt idx="758">
                  <c:v>3.1724109999999999</c:v>
                </c:pt>
                <c:pt idx="759">
                  <c:v>3.2273049999999999</c:v>
                </c:pt>
                <c:pt idx="760">
                  <c:v>3.2661880000000001</c:v>
                </c:pt>
                <c:pt idx="761">
                  <c:v>3.2982100000000001</c:v>
                </c:pt>
                <c:pt idx="762">
                  <c:v>3.3210820000000001</c:v>
                </c:pt>
                <c:pt idx="763">
                  <c:v>3.3302309999999999</c:v>
                </c:pt>
                <c:pt idx="764">
                  <c:v>3.3165079999999998</c:v>
                </c:pt>
                <c:pt idx="765">
                  <c:v>3.27305</c:v>
                </c:pt>
                <c:pt idx="766">
                  <c:v>3.2295919999999998</c:v>
                </c:pt>
                <c:pt idx="767">
                  <c:v>3.277625</c:v>
                </c:pt>
                <c:pt idx="768">
                  <c:v>3.2821989999999999</c:v>
                </c:pt>
                <c:pt idx="769">
                  <c:v>3.2890609999999998</c:v>
                </c:pt>
                <c:pt idx="770">
                  <c:v>3.327944</c:v>
                </c:pt>
                <c:pt idx="771">
                  <c:v>3.3691149999999999</c:v>
                </c:pt>
                <c:pt idx="772">
                  <c:v>3.3165079999999998</c:v>
                </c:pt>
                <c:pt idx="773">
                  <c:v>3.2250179999999999</c:v>
                </c:pt>
                <c:pt idx="774">
                  <c:v>3.1609750000000001</c:v>
                </c:pt>
                <c:pt idx="775">
                  <c:v>3.2570389999999998</c:v>
                </c:pt>
                <c:pt idx="776">
                  <c:v>3.2021449999999998</c:v>
                </c:pt>
                <c:pt idx="777">
                  <c:v>3.2135820000000002</c:v>
                </c:pt>
                <c:pt idx="778">
                  <c:v>3.195284</c:v>
                </c:pt>
                <c:pt idx="779">
                  <c:v>3.2799119999999999</c:v>
                </c:pt>
                <c:pt idx="780">
                  <c:v>3.250178</c:v>
                </c:pt>
                <c:pt idx="781">
                  <c:v>3.27305</c:v>
                </c:pt>
                <c:pt idx="782">
                  <c:v>3.2158690000000001</c:v>
                </c:pt>
                <c:pt idx="783">
                  <c:v>3.2616139999999998</c:v>
                </c:pt>
                <c:pt idx="784">
                  <c:v>3.2021449999999998</c:v>
                </c:pt>
                <c:pt idx="785">
                  <c:v>3.2513010000000002</c:v>
                </c:pt>
                <c:pt idx="786">
                  <c:v>3.3800430000000001</c:v>
                </c:pt>
                <c:pt idx="787">
                  <c:v>3.3730199999999999</c:v>
                </c:pt>
                <c:pt idx="788">
                  <c:v>3.361316</c:v>
                </c:pt>
                <c:pt idx="789">
                  <c:v>3.3285459999999998</c:v>
                </c:pt>
                <c:pt idx="790">
                  <c:v>3.2723680000000002</c:v>
                </c:pt>
                <c:pt idx="791">
                  <c:v>3.2723680000000002</c:v>
                </c:pt>
                <c:pt idx="792">
                  <c:v>3.3191830000000002</c:v>
                </c:pt>
                <c:pt idx="793">
                  <c:v>3.3191830000000002</c:v>
                </c:pt>
                <c:pt idx="794">
                  <c:v>3.2536420000000001</c:v>
                </c:pt>
                <c:pt idx="795">
                  <c:v>3.3027980000000001</c:v>
                </c:pt>
                <c:pt idx="796">
                  <c:v>3.3098200000000002</c:v>
                </c:pt>
                <c:pt idx="797">
                  <c:v>3.2723680000000002</c:v>
                </c:pt>
                <c:pt idx="798">
                  <c:v>3.2161900000000001</c:v>
                </c:pt>
                <c:pt idx="799">
                  <c:v>3.141286</c:v>
                </c:pt>
                <c:pt idx="800">
                  <c:v>3.1108560000000001</c:v>
                </c:pt>
                <c:pt idx="801">
                  <c:v>3.1295820000000001</c:v>
                </c:pt>
                <c:pt idx="802">
                  <c:v>3.1459670000000002</c:v>
                </c:pt>
                <c:pt idx="803">
                  <c:v>3.1366040000000002</c:v>
                </c:pt>
                <c:pt idx="804">
                  <c:v>3.0991529999999998</c:v>
                </c:pt>
                <c:pt idx="805">
                  <c:v>3.0897890000000001</c:v>
                </c:pt>
                <c:pt idx="806">
                  <c:v>3.160012</c:v>
                </c:pt>
                <c:pt idx="807">
                  <c:v>3.1881010000000001</c:v>
                </c:pt>
                <c:pt idx="808">
                  <c:v>3.2044860000000002</c:v>
                </c:pt>
                <c:pt idx="809">
                  <c:v>3.2349160000000001</c:v>
                </c:pt>
                <c:pt idx="810">
                  <c:v>3.239598</c:v>
                </c:pt>
                <c:pt idx="811">
                  <c:v>3.2770489999999999</c:v>
                </c:pt>
                <c:pt idx="812">
                  <c:v>3.2957749999999999</c:v>
                </c:pt>
                <c:pt idx="813">
                  <c:v>3.2910940000000002</c:v>
                </c:pt>
                <c:pt idx="814">
                  <c:v>3.3004570000000002</c:v>
                </c:pt>
                <c:pt idx="815">
                  <c:v>3.218531</c:v>
                </c:pt>
                <c:pt idx="816">
                  <c:v>3.1951230000000002</c:v>
                </c:pt>
                <c:pt idx="817">
                  <c:v>3.2513010000000002</c:v>
                </c:pt>
                <c:pt idx="818">
                  <c:v>3.199805</c:v>
                </c:pt>
                <c:pt idx="819">
                  <c:v>3.2021459999999999</c:v>
                </c:pt>
                <c:pt idx="820">
                  <c:v>3.1202190000000001</c:v>
                </c:pt>
                <c:pt idx="821">
                  <c:v>3.0897890000000001</c:v>
                </c:pt>
                <c:pt idx="822">
                  <c:v>3.1366040000000002</c:v>
                </c:pt>
                <c:pt idx="823">
                  <c:v>3.2161900000000001</c:v>
                </c:pt>
                <c:pt idx="824">
                  <c:v>3.2864119999999999</c:v>
                </c:pt>
                <c:pt idx="825">
                  <c:v>3.2817310000000002</c:v>
                </c:pt>
                <c:pt idx="826">
                  <c:v>3.3191830000000002</c:v>
                </c:pt>
                <c:pt idx="827">
                  <c:v>3.3332269999999999</c:v>
                </c:pt>
                <c:pt idx="828">
                  <c:v>3.3730199999999999</c:v>
                </c:pt>
                <c:pt idx="829">
                  <c:v>3.3800430000000001</c:v>
                </c:pt>
                <c:pt idx="830">
                  <c:v>3.4409019999999999</c:v>
                </c:pt>
                <c:pt idx="831">
                  <c:v>3.3870650000000002</c:v>
                </c:pt>
                <c:pt idx="832">
                  <c:v>3.3870650000000002</c:v>
                </c:pt>
                <c:pt idx="833">
                  <c:v>3.3589760000000002</c:v>
                </c:pt>
                <c:pt idx="834">
                  <c:v>3.3636569999999999</c:v>
                </c:pt>
                <c:pt idx="835">
                  <c:v>3.2910940000000002</c:v>
                </c:pt>
                <c:pt idx="836">
                  <c:v>3.3847239999999998</c:v>
                </c:pt>
                <c:pt idx="837">
                  <c:v>3.389405</c:v>
                </c:pt>
                <c:pt idx="838">
                  <c:v>3.3753609999999998</c:v>
                </c:pt>
                <c:pt idx="839">
                  <c:v>3.4104719999999999</c:v>
                </c:pt>
                <c:pt idx="840">
                  <c:v>3.476013</c:v>
                </c:pt>
                <c:pt idx="841">
                  <c:v>3.4502649999999999</c:v>
                </c:pt>
                <c:pt idx="842">
                  <c:v>3.5228280000000001</c:v>
                </c:pt>
                <c:pt idx="843">
                  <c:v>3.4830350000000001</c:v>
                </c:pt>
                <c:pt idx="844">
                  <c:v>3.4526059999999998</c:v>
                </c:pt>
                <c:pt idx="845">
                  <c:v>3.4713319999999999</c:v>
                </c:pt>
                <c:pt idx="846">
                  <c:v>3.4104719999999999</c:v>
                </c:pt>
                <c:pt idx="847">
                  <c:v>3.3168419999999998</c:v>
                </c:pt>
                <c:pt idx="848">
                  <c:v>3.361316</c:v>
                </c:pt>
                <c:pt idx="849">
                  <c:v>3.370679</c:v>
                </c:pt>
                <c:pt idx="850">
                  <c:v>3.3940869999999999</c:v>
                </c:pt>
                <c:pt idx="851">
                  <c:v>3.3285459999999998</c:v>
                </c:pt>
                <c:pt idx="852">
                  <c:v>3.2700269999999998</c:v>
                </c:pt>
                <c:pt idx="853">
                  <c:v>3.1951230000000002</c:v>
                </c:pt>
                <c:pt idx="854">
                  <c:v>3.1295820000000001</c:v>
                </c:pt>
                <c:pt idx="855">
                  <c:v>2.9867970000000001</c:v>
                </c:pt>
                <c:pt idx="856">
                  <c:v>3.1108560000000001</c:v>
                </c:pt>
                <c:pt idx="857">
                  <c:v>3.0897890000000001</c:v>
                </c:pt>
                <c:pt idx="858">
                  <c:v>3.1646930000000002</c:v>
                </c:pt>
                <c:pt idx="859">
                  <c:v>3.1155379999999999</c:v>
                </c:pt>
                <c:pt idx="860">
                  <c:v>3.1178780000000001</c:v>
                </c:pt>
                <c:pt idx="861">
                  <c:v>3.0593599999999999</c:v>
                </c:pt>
                <c:pt idx="862">
                  <c:v>3.0897890000000001</c:v>
                </c:pt>
                <c:pt idx="863">
                  <c:v>3.2021459999999999</c:v>
                </c:pt>
                <c:pt idx="864">
                  <c:v>3.1085159999999998</c:v>
                </c:pt>
                <c:pt idx="865">
                  <c:v>3.141286</c:v>
                </c:pt>
                <c:pt idx="866">
                  <c:v>3.1693750000000001</c:v>
                </c:pt>
                <c:pt idx="867">
                  <c:v>3.2653460000000001</c:v>
                </c:pt>
                <c:pt idx="868">
                  <c:v>3.3051379999999999</c:v>
                </c:pt>
                <c:pt idx="869">
                  <c:v>3.2466200000000001</c:v>
                </c:pt>
                <c:pt idx="870">
                  <c:v>3.2583229999999999</c:v>
                </c:pt>
                <c:pt idx="871">
                  <c:v>3.2630050000000002</c:v>
                </c:pt>
                <c:pt idx="872">
                  <c:v>3.3308870000000002</c:v>
                </c:pt>
                <c:pt idx="873">
                  <c:v>3.3542939999999999</c:v>
                </c:pt>
                <c:pt idx="874">
                  <c:v>3.3004570000000002</c:v>
                </c:pt>
                <c:pt idx="875">
                  <c:v>3.3777020000000002</c:v>
                </c:pt>
                <c:pt idx="876">
                  <c:v>3.2723680000000002</c:v>
                </c:pt>
                <c:pt idx="877">
                  <c:v>3.3145009999999999</c:v>
                </c:pt>
                <c:pt idx="878">
                  <c:v>3.267687</c:v>
                </c:pt>
                <c:pt idx="879">
                  <c:v>3.3238639999999999</c:v>
                </c:pt>
                <c:pt idx="880">
                  <c:v>3.2653460000000001</c:v>
                </c:pt>
                <c:pt idx="881">
                  <c:v>3.239598</c:v>
                </c:pt>
                <c:pt idx="882">
                  <c:v>3.3332269999999999</c:v>
                </c:pt>
                <c:pt idx="883">
                  <c:v>3.3262049999999999</c:v>
                </c:pt>
                <c:pt idx="884">
                  <c:v>3.3262049999999999</c:v>
                </c:pt>
                <c:pt idx="885">
                  <c:v>3.3964279999999998</c:v>
                </c:pt>
                <c:pt idx="886">
                  <c:v>3.4643099999999998</c:v>
                </c:pt>
                <c:pt idx="887">
                  <c:v>3.370679</c:v>
                </c:pt>
                <c:pt idx="888">
                  <c:v>3.4057909999999998</c:v>
                </c:pt>
                <c:pt idx="889">
                  <c:v>3.4362200000000001</c:v>
                </c:pt>
                <c:pt idx="890">
                  <c:v>3.4736729999999998</c:v>
                </c:pt>
                <c:pt idx="891">
                  <c:v>3.506443</c:v>
                </c:pt>
                <c:pt idx="892">
                  <c:v>3.4643099999999998</c:v>
                </c:pt>
                <c:pt idx="893">
                  <c:v>3.5321910000000001</c:v>
                </c:pt>
                <c:pt idx="894">
                  <c:v>3.5392130000000002</c:v>
                </c:pt>
                <c:pt idx="895">
                  <c:v>3.5907100000000001</c:v>
                </c:pt>
                <c:pt idx="896">
                  <c:v>3.5860289999999999</c:v>
                </c:pt>
                <c:pt idx="897">
                  <c:v>3.5415540000000001</c:v>
                </c:pt>
                <c:pt idx="898">
                  <c:v>3.6000730000000001</c:v>
                </c:pt>
                <c:pt idx="899">
                  <c:v>3.6375250000000001</c:v>
                </c:pt>
                <c:pt idx="900">
                  <c:v>3.6328429999999998</c:v>
                </c:pt>
                <c:pt idx="901">
                  <c:v>3.6468880000000001</c:v>
                </c:pt>
                <c:pt idx="902">
                  <c:v>3.7077469999999999</c:v>
                </c:pt>
                <c:pt idx="903">
                  <c:v>3.6351840000000002</c:v>
                </c:pt>
                <c:pt idx="904">
                  <c:v>3.6468880000000001</c:v>
                </c:pt>
                <c:pt idx="905">
                  <c:v>3.6492290000000001</c:v>
                </c:pt>
                <c:pt idx="906">
                  <c:v>3.6679550000000001</c:v>
                </c:pt>
                <c:pt idx="907">
                  <c:v>3.6328429999999998</c:v>
                </c:pt>
                <c:pt idx="908">
                  <c:v>3.6960440000000001</c:v>
                </c:pt>
                <c:pt idx="909">
                  <c:v>3.6749770000000002</c:v>
                </c:pt>
                <c:pt idx="910">
                  <c:v>3.5790060000000001</c:v>
                </c:pt>
                <c:pt idx="911">
                  <c:v>3.7217920000000002</c:v>
                </c:pt>
                <c:pt idx="912">
                  <c:v>3.7451989999999999</c:v>
                </c:pt>
                <c:pt idx="913">
                  <c:v>3.7428590000000002</c:v>
                </c:pt>
                <c:pt idx="914">
                  <c:v>3.7334960000000001</c:v>
                </c:pt>
                <c:pt idx="915">
                  <c:v>3.782651</c:v>
                </c:pt>
                <c:pt idx="916">
                  <c:v>3.7966959999999998</c:v>
                </c:pt>
                <c:pt idx="917">
                  <c:v>3.7592439999999998</c:v>
                </c:pt>
                <c:pt idx="918">
                  <c:v>3.869259</c:v>
                </c:pt>
                <c:pt idx="919">
                  <c:v>3.8715999999999999</c:v>
                </c:pt>
                <c:pt idx="920">
                  <c:v>3.8528739999999999</c:v>
                </c:pt>
                <c:pt idx="921">
                  <c:v>3.7756289999999999</c:v>
                </c:pt>
                <c:pt idx="922">
                  <c:v>3.897348</c:v>
                </c:pt>
                <c:pt idx="923">
                  <c:v>3.8575550000000001</c:v>
                </c:pt>
                <c:pt idx="924">
                  <c:v>3.8552140000000001</c:v>
                </c:pt>
                <c:pt idx="925">
                  <c:v>3.8926669999999999</c:v>
                </c:pt>
                <c:pt idx="926">
                  <c:v>3.9160740000000001</c:v>
                </c:pt>
                <c:pt idx="927">
                  <c:v>3.9394819999999999</c:v>
                </c:pt>
                <c:pt idx="928">
                  <c:v>3.7428590000000002</c:v>
                </c:pt>
                <c:pt idx="929">
                  <c:v>3.7311550000000002</c:v>
                </c:pt>
                <c:pt idx="930">
                  <c:v>3.8341479999999999</c:v>
                </c:pt>
                <c:pt idx="931">
                  <c:v>3.7756289999999999</c:v>
                </c:pt>
                <c:pt idx="932">
                  <c:v>3.7030660000000002</c:v>
                </c:pt>
                <c:pt idx="933">
                  <c:v>3.7007249999999998</c:v>
                </c:pt>
                <c:pt idx="934">
                  <c:v>3.6796579999999999</c:v>
                </c:pt>
                <c:pt idx="935">
                  <c:v>3.5766650000000002</c:v>
                </c:pt>
                <c:pt idx="936">
                  <c:v>3.7171099999999999</c:v>
                </c:pt>
                <c:pt idx="937">
                  <c:v>3.7686069999999998</c:v>
                </c:pt>
                <c:pt idx="938">
                  <c:v>3.782651</c:v>
                </c:pt>
                <c:pt idx="939">
                  <c:v>3.7475399999999999</c:v>
                </c:pt>
                <c:pt idx="940">
                  <c:v>3.689022</c:v>
                </c:pt>
                <c:pt idx="941">
                  <c:v>3.5953909999999998</c:v>
                </c:pt>
                <c:pt idx="942">
                  <c:v>3.7030660000000002</c:v>
                </c:pt>
                <c:pt idx="943">
                  <c:v>3.6796579999999999</c:v>
                </c:pt>
                <c:pt idx="944">
                  <c:v>3.7873329999999998</c:v>
                </c:pt>
                <c:pt idx="945">
                  <c:v>3.7451989999999999</c:v>
                </c:pt>
                <c:pt idx="946">
                  <c:v>3.7451989999999999</c:v>
                </c:pt>
                <c:pt idx="947">
                  <c:v>3.630503</c:v>
                </c:pt>
                <c:pt idx="948">
                  <c:v>3.6913619999999998</c:v>
                </c:pt>
                <c:pt idx="949">
                  <c:v>3.6351840000000002</c:v>
                </c:pt>
                <c:pt idx="950">
                  <c:v>3.5509170000000001</c:v>
                </c:pt>
                <c:pt idx="951">
                  <c:v>3.5415540000000001</c:v>
                </c:pt>
                <c:pt idx="952">
                  <c:v>3.5813470000000001</c:v>
                </c:pt>
                <c:pt idx="953">
                  <c:v>3.6609319999999999</c:v>
                </c:pt>
                <c:pt idx="954">
                  <c:v>3.7171099999999999</c:v>
                </c:pt>
                <c:pt idx="955">
                  <c:v>3.6047539999999998</c:v>
                </c:pt>
                <c:pt idx="956">
                  <c:v>3.5579390000000002</c:v>
                </c:pt>
                <c:pt idx="957">
                  <c:v>3.5134650000000001</c:v>
                </c:pt>
                <c:pt idx="958">
                  <c:v>3.5977320000000002</c:v>
                </c:pt>
                <c:pt idx="959">
                  <c:v>3.4643099999999998</c:v>
                </c:pt>
                <c:pt idx="960">
                  <c:v>3.5368719999999998</c:v>
                </c:pt>
                <c:pt idx="961">
                  <c:v>3.593051</c:v>
                </c:pt>
                <c:pt idx="962">
                  <c:v>3.6351840000000002</c:v>
                </c:pt>
                <c:pt idx="963">
                  <c:v>3.6749770000000002</c:v>
                </c:pt>
                <c:pt idx="964">
                  <c:v>3.698385</c:v>
                </c:pt>
                <c:pt idx="965">
                  <c:v>3.6000730000000001</c:v>
                </c:pt>
                <c:pt idx="966">
                  <c:v>3.7756289999999999</c:v>
                </c:pt>
                <c:pt idx="967">
                  <c:v>3.7545630000000001</c:v>
                </c:pt>
                <c:pt idx="968">
                  <c:v>3.7405179999999998</c:v>
                </c:pt>
                <c:pt idx="969">
                  <c:v>3.6609319999999999</c:v>
                </c:pt>
                <c:pt idx="970">
                  <c:v>3.5017610000000001</c:v>
                </c:pt>
                <c:pt idx="971">
                  <c:v>3.4736729999999998</c:v>
                </c:pt>
                <c:pt idx="972">
                  <c:v>3.3098200000000002</c:v>
                </c:pt>
                <c:pt idx="973">
                  <c:v>3.361316</c:v>
                </c:pt>
                <c:pt idx="974">
                  <c:v>3.438561</c:v>
                </c:pt>
                <c:pt idx="975">
                  <c:v>3.2489599999999998</c:v>
                </c:pt>
                <c:pt idx="976">
                  <c:v>3.2981159999999998</c:v>
                </c:pt>
                <c:pt idx="977">
                  <c:v>3.3542939999999999</c:v>
                </c:pt>
                <c:pt idx="978">
                  <c:v>3.2723680000000002</c:v>
                </c:pt>
                <c:pt idx="979">
                  <c:v>3.3519540000000001</c:v>
                </c:pt>
                <c:pt idx="980">
                  <c:v>3.3168419999999998</c:v>
                </c:pt>
                <c:pt idx="981">
                  <c:v>3.3472719999999998</c:v>
                </c:pt>
                <c:pt idx="982">
                  <c:v>3.3964279999999998</c:v>
                </c:pt>
                <c:pt idx="983">
                  <c:v>3.3917459999999999</c:v>
                </c:pt>
                <c:pt idx="984">
                  <c:v>3.3519540000000001</c:v>
                </c:pt>
                <c:pt idx="985">
                  <c:v>3.4362200000000001</c:v>
                </c:pt>
                <c:pt idx="986">
                  <c:v>3.4128129999999999</c:v>
                </c:pt>
                <c:pt idx="987">
                  <c:v>3.3940869999999999</c:v>
                </c:pt>
                <c:pt idx="988">
                  <c:v>3.5134650000000001</c:v>
                </c:pt>
                <c:pt idx="989">
                  <c:v>3.562621</c:v>
                </c:pt>
                <c:pt idx="990">
                  <c:v>3.5813470000000001</c:v>
                </c:pt>
                <c:pt idx="991">
                  <c:v>3.6375250000000001</c:v>
                </c:pt>
                <c:pt idx="992">
                  <c:v>3.6445470000000002</c:v>
                </c:pt>
                <c:pt idx="993">
                  <c:v>3.5953909999999998</c:v>
                </c:pt>
                <c:pt idx="994">
                  <c:v>3.6468880000000001</c:v>
                </c:pt>
                <c:pt idx="995">
                  <c:v>3.6702949999999999</c:v>
                </c:pt>
                <c:pt idx="996">
                  <c:v>3.7217920000000002</c:v>
                </c:pt>
                <c:pt idx="997">
                  <c:v>3.909052</c:v>
                </c:pt>
                <c:pt idx="998">
                  <c:v>3.9909780000000001</c:v>
                </c:pt>
                <c:pt idx="999">
                  <c:v>4.0424749999999996</c:v>
                </c:pt>
                <c:pt idx="1000">
                  <c:v>4.0846080000000002</c:v>
                </c:pt>
                <c:pt idx="1001">
                  <c:v>4.0705629999999999</c:v>
                </c:pt>
                <c:pt idx="1002">
                  <c:v>4.0775860000000002</c:v>
                </c:pt>
                <c:pt idx="1003">
                  <c:v>4.0729040000000003</c:v>
                </c:pt>
                <c:pt idx="1004">
                  <c:v>4.0869489999999997</c:v>
                </c:pt>
                <c:pt idx="1005">
                  <c:v>4.0541780000000003</c:v>
                </c:pt>
                <c:pt idx="1006">
                  <c:v>4.0541780000000003</c:v>
                </c:pt>
                <c:pt idx="1007">
                  <c:v>4.1290820000000004</c:v>
                </c:pt>
                <c:pt idx="1008">
                  <c:v>4.1126969999999998</c:v>
                </c:pt>
                <c:pt idx="1009">
                  <c:v>4.0752449999999998</c:v>
                </c:pt>
                <c:pt idx="1010">
                  <c:v>4.1197189999999999</c:v>
                </c:pt>
                <c:pt idx="1011">
                  <c:v>4.0588600000000001</c:v>
                </c:pt>
                <c:pt idx="1012">
                  <c:v>4.0588600000000001</c:v>
                </c:pt>
                <c:pt idx="1013">
                  <c:v>4.0354520000000003</c:v>
                </c:pt>
                <c:pt idx="1014">
                  <c:v>4.0963120000000002</c:v>
                </c:pt>
                <c:pt idx="1015">
                  <c:v>4.0307709999999997</c:v>
                </c:pt>
                <c:pt idx="1016">
                  <c:v>3.9792749999999999</c:v>
                </c:pt>
                <c:pt idx="1017">
                  <c:v>4.0097040000000002</c:v>
                </c:pt>
                <c:pt idx="1018">
                  <c:v>4.0377929999999997</c:v>
                </c:pt>
                <c:pt idx="1019">
                  <c:v>3.9722520000000001</c:v>
                </c:pt>
                <c:pt idx="1020">
                  <c:v>3.9816150000000001</c:v>
                </c:pt>
                <c:pt idx="1021">
                  <c:v>4.0658820000000002</c:v>
                </c:pt>
                <c:pt idx="1022">
                  <c:v>4.089289</c:v>
                </c:pt>
                <c:pt idx="1023">
                  <c:v>4.044816</c:v>
                </c:pt>
                <c:pt idx="1024">
                  <c:v>3.9933190000000001</c:v>
                </c:pt>
                <c:pt idx="1025">
                  <c:v>4.0214090000000002</c:v>
                </c:pt>
                <c:pt idx="1026">
                  <c:v>4.0354520000000003</c:v>
                </c:pt>
                <c:pt idx="1027">
                  <c:v>4.0612009999999996</c:v>
                </c:pt>
                <c:pt idx="1028">
                  <c:v>4.0050230000000004</c:v>
                </c:pt>
                <c:pt idx="1029">
                  <c:v>3.946504</c:v>
                </c:pt>
                <c:pt idx="1030">
                  <c:v>3.9324590000000001</c:v>
                </c:pt>
                <c:pt idx="1031">
                  <c:v>3.9113929999999999</c:v>
                </c:pt>
                <c:pt idx="1032">
                  <c:v>3.9488449999999999</c:v>
                </c:pt>
                <c:pt idx="1033">
                  <c:v>3.9628890000000001</c:v>
                </c:pt>
                <c:pt idx="1034">
                  <c:v>3.986297</c:v>
                </c:pt>
                <c:pt idx="1035">
                  <c:v>4.1033340000000003</c:v>
                </c:pt>
                <c:pt idx="1036">
                  <c:v>4.1173789999999997</c:v>
                </c:pt>
                <c:pt idx="1037">
                  <c:v>4.0284300000000002</c:v>
                </c:pt>
                <c:pt idx="1038">
                  <c:v>4.0026820000000001</c:v>
                </c:pt>
                <c:pt idx="1039">
                  <c:v>4.0167260000000002</c:v>
                </c:pt>
                <c:pt idx="1040">
                  <c:v>3.9980000000000002</c:v>
                </c:pt>
                <c:pt idx="1041">
                  <c:v>3.9230960000000001</c:v>
                </c:pt>
                <c:pt idx="1042">
                  <c:v>3.927778</c:v>
                </c:pt>
                <c:pt idx="1043">
                  <c:v>3.829466</c:v>
                </c:pt>
                <c:pt idx="1044">
                  <c:v>3.9488449999999999</c:v>
                </c:pt>
                <c:pt idx="1045">
                  <c:v>3.9703710000000001</c:v>
                </c:pt>
                <c:pt idx="1046">
                  <c:v>4.1067020000000003</c:v>
                </c:pt>
                <c:pt idx="1047">
                  <c:v>4.1664969999999997</c:v>
                </c:pt>
                <c:pt idx="1048">
                  <c:v>4.15693</c:v>
                </c:pt>
                <c:pt idx="1049">
                  <c:v>4.1641050000000002</c:v>
                </c:pt>
                <c:pt idx="1050">
                  <c:v>4.1808480000000001</c:v>
                </c:pt>
                <c:pt idx="1051">
                  <c:v>4.1545389999999998</c:v>
                </c:pt>
                <c:pt idx="1052">
                  <c:v>4.1712809999999996</c:v>
                </c:pt>
                <c:pt idx="1053">
                  <c:v>4.1808480000000001</c:v>
                </c:pt>
                <c:pt idx="1054">
                  <c:v>4.1832390000000004</c:v>
                </c:pt>
                <c:pt idx="1055">
                  <c:v>4.1688900000000002</c:v>
                </c:pt>
                <c:pt idx="1056">
                  <c:v>4.1951989999999997</c:v>
                </c:pt>
                <c:pt idx="1057">
                  <c:v>4.1617139999999999</c:v>
                </c:pt>
                <c:pt idx="1058">
                  <c:v>4.0995280000000003</c:v>
                </c:pt>
                <c:pt idx="1059">
                  <c:v>3.982329</c:v>
                </c:pt>
                <c:pt idx="1060">
                  <c:v>3.932102</c:v>
                </c:pt>
                <c:pt idx="1061">
                  <c:v>3.9344939999999999</c:v>
                </c:pt>
                <c:pt idx="1062">
                  <c:v>3.9416690000000001</c:v>
                </c:pt>
                <c:pt idx="1063">
                  <c:v>3.9488439999999998</c:v>
                </c:pt>
                <c:pt idx="1064">
                  <c:v>3.946453</c:v>
                </c:pt>
                <c:pt idx="1065">
                  <c:v>4.0851759999999997</c:v>
                </c:pt>
                <c:pt idx="1066">
                  <c:v>4.0875680000000001</c:v>
                </c:pt>
                <c:pt idx="1067">
                  <c:v>4.0373409999999996</c:v>
                </c:pt>
                <c:pt idx="1068">
                  <c:v>4.1401870000000001</c:v>
                </c:pt>
                <c:pt idx="1069">
                  <c:v>3.9631949999999998</c:v>
                </c:pt>
                <c:pt idx="1070">
                  <c:v>3.9655870000000002</c:v>
                </c:pt>
                <c:pt idx="1071">
                  <c:v>4.1210529999999999</c:v>
                </c:pt>
                <c:pt idx="1072">
                  <c:v>4.1688900000000002</c:v>
                </c:pt>
                <c:pt idx="1073">
                  <c:v>4.2478179999999996</c:v>
                </c:pt>
                <c:pt idx="1074">
                  <c:v>4.238251</c:v>
                </c:pt>
                <c:pt idx="1075">
                  <c:v>4.2310759999999998</c:v>
                </c:pt>
                <c:pt idx="1076">
                  <c:v>4.2143329999999999</c:v>
                </c:pt>
                <c:pt idx="1077">
                  <c:v>4.0827850000000003</c:v>
                </c:pt>
                <c:pt idx="1078">
                  <c:v>4.1234450000000002</c:v>
                </c:pt>
                <c:pt idx="1079">
                  <c:v>4.1832390000000004</c:v>
                </c:pt>
                <c:pt idx="1080">
                  <c:v>4.2430349999999999</c:v>
                </c:pt>
                <c:pt idx="1081">
                  <c:v>4.2406430000000004</c:v>
                </c:pt>
                <c:pt idx="1082">
                  <c:v>4.15693</c:v>
                </c:pt>
                <c:pt idx="1083">
                  <c:v>4.1975910000000001</c:v>
                </c:pt>
                <c:pt idx="1084">
                  <c:v>4.1497549999999999</c:v>
                </c:pt>
                <c:pt idx="1085">
                  <c:v>4.2167250000000003</c:v>
                </c:pt>
                <c:pt idx="1086">
                  <c:v>4.2239000000000004</c:v>
                </c:pt>
                <c:pt idx="1087">
                  <c:v>4.2669519999999999</c:v>
                </c:pt>
                <c:pt idx="1088">
                  <c:v>4.2454270000000003</c:v>
                </c:pt>
                <c:pt idx="1089">
                  <c:v>4.3028300000000002</c:v>
                </c:pt>
                <c:pt idx="1090">
                  <c:v>4.3769749999999998</c:v>
                </c:pt>
                <c:pt idx="1091">
                  <c:v>4.3817589999999997</c:v>
                </c:pt>
                <c:pt idx="1092">
                  <c:v>4.396109</c:v>
                </c:pt>
                <c:pt idx="1093">
                  <c:v>4.3721909999999999</c:v>
                </c:pt>
                <c:pt idx="1094">
                  <c:v>4.4176349999999998</c:v>
                </c:pt>
                <c:pt idx="1095">
                  <c:v>4.4248099999999999</c:v>
                </c:pt>
                <c:pt idx="1096">
                  <c:v>4.6305059999999996</c:v>
                </c:pt>
                <c:pt idx="1097">
                  <c:v>4.6041949999999998</c:v>
                </c:pt>
                <c:pt idx="1098">
                  <c:v>4.6041949999999998</c:v>
                </c:pt>
                <c:pt idx="1099">
                  <c:v>4.6113710000000001</c:v>
                </c:pt>
                <c:pt idx="1100">
                  <c:v>4.5252660000000002</c:v>
                </c:pt>
                <c:pt idx="1101">
                  <c:v>4.5683179999999997</c:v>
                </c:pt>
                <c:pt idx="1102">
                  <c:v>4.5444000000000004</c:v>
                </c:pt>
                <c:pt idx="1103">
                  <c:v>4.7548779999999997</c:v>
                </c:pt>
                <c:pt idx="1104">
                  <c:v>4.7644450000000003</c:v>
                </c:pt>
                <c:pt idx="1105">
                  <c:v>4.6807319999999999</c:v>
                </c:pt>
                <c:pt idx="1106">
                  <c:v>4.6496389999999996</c:v>
                </c:pt>
                <c:pt idx="1107">
                  <c:v>4.6544220000000003</c:v>
                </c:pt>
                <c:pt idx="1108">
                  <c:v>4.640072</c:v>
                </c:pt>
                <c:pt idx="1109">
                  <c:v>4.6950830000000003</c:v>
                </c:pt>
                <c:pt idx="1110">
                  <c:v>4.6879080000000002</c:v>
                </c:pt>
                <c:pt idx="1111">
                  <c:v>4.6639900000000001</c:v>
                </c:pt>
                <c:pt idx="1112">
                  <c:v>4.6639900000000001</c:v>
                </c:pt>
                <c:pt idx="1113">
                  <c:v>4.7118250000000002</c:v>
                </c:pt>
                <c:pt idx="1114">
                  <c:v>4.6855149999999997</c:v>
                </c:pt>
                <c:pt idx="1115">
                  <c:v>4.7429189999999997</c:v>
                </c:pt>
                <c:pt idx="1116">
                  <c:v>4.6663819999999996</c:v>
                </c:pt>
                <c:pt idx="1117">
                  <c:v>4.640072</c:v>
                </c:pt>
                <c:pt idx="1118">
                  <c:v>4.7979289999999999</c:v>
                </c:pt>
                <c:pt idx="1119">
                  <c:v>4.7668369999999998</c:v>
                </c:pt>
                <c:pt idx="1120">
                  <c:v>4.7644450000000003</c:v>
                </c:pt>
                <c:pt idx="1121">
                  <c:v>4.8027129999999998</c:v>
                </c:pt>
                <c:pt idx="1122">
                  <c:v>4.6926909999999999</c:v>
                </c:pt>
                <c:pt idx="1123">
                  <c:v>4.5754929999999998</c:v>
                </c:pt>
                <c:pt idx="1124">
                  <c:v>4.5539670000000001</c:v>
                </c:pt>
                <c:pt idx="1125">
                  <c:v>4.4869969999999997</c:v>
                </c:pt>
                <c:pt idx="1126">
                  <c:v>4.5204820000000003</c:v>
                </c:pt>
                <c:pt idx="1127">
                  <c:v>4.594627</c:v>
                </c:pt>
                <c:pt idx="1128">
                  <c:v>4.5802769999999997</c:v>
                </c:pt>
                <c:pt idx="1129">
                  <c:v>4.6065870000000002</c:v>
                </c:pt>
                <c:pt idx="1130">
                  <c:v>4.5922369999999999</c:v>
                </c:pt>
                <c:pt idx="1131">
                  <c:v>4.5778850000000002</c:v>
                </c:pt>
                <c:pt idx="1132">
                  <c:v>4.8027129999999998</c:v>
                </c:pt>
                <c:pt idx="1133">
                  <c:v>4.7429189999999997</c:v>
                </c:pt>
                <c:pt idx="1134">
                  <c:v>4.7453110000000001</c:v>
                </c:pt>
                <c:pt idx="1135">
                  <c:v>4.757269</c:v>
                </c:pt>
                <c:pt idx="1136">
                  <c:v>4.8266309999999999</c:v>
                </c:pt>
                <c:pt idx="1137">
                  <c:v>4.8074969999999997</c:v>
                </c:pt>
                <c:pt idx="1138">
                  <c:v>4.7979289999999999</c:v>
                </c:pt>
                <c:pt idx="1139">
                  <c:v>4.7835789999999996</c:v>
                </c:pt>
                <c:pt idx="1140">
                  <c:v>4.7453110000000001</c:v>
                </c:pt>
                <c:pt idx="1141">
                  <c:v>4.6783400000000004</c:v>
                </c:pt>
                <c:pt idx="1142">
                  <c:v>4.6592060000000002</c:v>
                </c:pt>
                <c:pt idx="1143">
                  <c:v>4.5635339999999998</c:v>
                </c:pt>
                <c:pt idx="1144">
                  <c:v>4.5802769999999997</c:v>
                </c:pt>
                <c:pt idx="1145">
                  <c:v>4.5922369999999999</c:v>
                </c:pt>
                <c:pt idx="1146">
                  <c:v>4.5922369999999999</c:v>
                </c:pt>
                <c:pt idx="1147">
                  <c:v>4.5348319999999998</c:v>
                </c:pt>
                <c:pt idx="1148">
                  <c:v>4.6376799999999996</c:v>
                </c:pt>
                <c:pt idx="1149">
                  <c:v>4.530049</c:v>
                </c:pt>
                <c:pt idx="1150">
                  <c:v>4.5898450000000004</c:v>
                </c:pt>
                <c:pt idx="1151">
                  <c:v>4.6161539999999999</c:v>
                </c:pt>
                <c:pt idx="1152">
                  <c:v>4.5802769999999997</c:v>
                </c:pt>
                <c:pt idx="1153">
                  <c:v>4.5539670000000001</c:v>
                </c:pt>
                <c:pt idx="1154">
                  <c:v>4.4535119999999999</c:v>
                </c:pt>
                <c:pt idx="1155">
                  <c:v>4.4582959999999998</c:v>
                </c:pt>
                <c:pt idx="1156">
                  <c:v>4.4200270000000002</c:v>
                </c:pt>
                <c:pt idx="1157">
                  <c:v>4.4152430000000003</c:v>
                </c:pt>
                <c:pt idx="1158">
                  <c:v>4.3913260000000003</c:v>
                </c:pt>
                <c:pt idx="1159">
                  <c:v>4.3889339999999999</c:v>
                </c:pt>
                <c:pt idx="1160">
                  <c:v>4.3410979999999997</c:v>
                </c:pt>
                <c:pt idx="1161">
                  <c:v>4.29087</c:v>
                </c:pt>
                <c:pt idx="1162">
                  <c:v>4.2430349999999999</c:v>
                </c:pt>
                <c:pt idx="1163">
                  <c:v>4.1760640000000002</c:v>
                </c:pt>
                <c:pt idx="1164">
                  <c:v>4.3267470000000001</c:v>
                </c:pt>
                <c:pt idx="1165">
                  <c:v>4.2860870000000002</c:v>
                </c:pt>
                <c:pt idx="1166">
                  <c:v>4.238251</c:v>
                </c:pt>
                <c:pt idx="1167">
                  <c:v>4.0349490000000001</c:v>
                </c:pt>
                <c:pt idx="1168">
                  <c:v>4.0325569999999997</c:v>
                </c:pt>
                <c:pt idx="1169">
                  <c:v>4.1138789999999998</c:v>
                </c:pt>
                <c:pt idx="1170">
                  <c:v>4.2071589999999999</c:v>
                </c:pt>
                <c:pt idx="1171">
                  <c:v>4.0971359999999999</c:v>
                </c:pt>
                <c:pt idx="1172">
                  <c:v>4.2119419999999996</c:v>
                </c:pt>
                <c:pt idx="1173">
                  <c:v>4.2310759999999998</c:v>
                </c:pt>
                <c:pt idx="1174">
                  <c:v>4.2430349999999999</c:v>
                </c:pt>
                <c:pt idx="1175">
                  <c:v>4.2549939999999999</c:v>
                </c:pt>
                <c:pt idx="1176">
                  <c:v>4.2956539999999999</c:v>
                </c:pt>
                <c:pt idx="1177">
                  <c:v>4.2717359999999998</c:v>
                </c:pt>
                <c:pt idx="1178">
                  <c:v>4.3339230000000004</c:v>
                </c:pt>
                <c:pt idx="1179">
                  <c:v>4.2884789999999997</c:v>
                </c:pt>
                <c:pt idx="1180">
                  <c:v>4.2956539999999999</c:v>
                </c:pt>
                <c:pt idx="1181">
                  <c:v>4.3530569999999997</c:v>
                </c:pt>
                <c:pt idx="1182">
                  <c:v>4.2669519999999999</c:v>
                </c:pt>
                <c:pt idx="1183">
                  <c:v>4.238251</c:v>
                </c:pt>
                <c:pt idx="1184">
                  <c:v>4.3123969999999998</c:v>
                </c:pt>
                <c:pt idx="1185">
                  <c:v>4.3817589999999997</c:v>
                </c:pt>
                <c:pt idx="1186">
                  <c:v>4.331531</c:v>
                </c:pt>
                <c:pt idx="1187">
                  <c:v>4.4056759999999997</c:v>
                </c:pt>
                <c:pt idx="1188">
                  <c:v>4.4511209999999997</c:v>
                </c:pt>
                <c:pt idx="1189">
                  <c:v>4.4200270000000002</c:v>
                </c:pt>
                <c:pt idx="1190">
                  <c:v>4.4582959999999998</c:v>
                </c:pt>
                <c:pt idx="1191">
                  <c:v>4.3745830000000003</c:v>
                </c:pt>
                <c:pt idx="1192">
                  <c:v>4.3626240000000003</c:v>
                </c:pt>
                <c:pt idx="1193">
                  <c:v>4.3865420000000004</c:v>
                </c:pt>
                <c:pt idx="1194">
                  <c:v>4.4582959999999998</c:v>
                </c:pt>
                <c:pt idx="1195">
                  <c:v>4.4080680000000001</c:v>
                </c:pt>
                <c:pt idx="1196">
                  <c:v>4.4200270000000002</c:v>
                </c:pt>
                <c:pt idx="1197">
                  <c:v>4.3913260000000003</c:v>
                </c:pt>
                <c:pt idx="1198">
                  <c:v>4.4439450000000003</c:v>
                </c:pt>
                <c:pt idx="1199">
                  <c:v>4.4439450000000003</c:v>
                </c:pt>
                <c:pt idx="1200">
                  <c:v>4.4343779999999997</c:v>
                </c:pt>
                <c:pt idx="1201">
                  <c:v>4.4295949999999999</c:v>
                </c:pt>
                <c:pt idx="1202">
                  <c:v>4.4439450000000003</c:v>
                </c:pt>
                <c:pt idx="1203">
                  <c:v>4.47743</c:v>
                </c:pt>
                <c:pt idx="1204">
                  <c:v>4.4295949999999999</c:v>
                </c:pt>
                <c:pt idx="1205">
                  <c:v>4.4487290000000002</c:v>
                </c:pt>
                <c:pt idx="1206">
                  <c:v>4.4582959999999998</c:v>
                </c:pt>
                <c:pt idx="1207">
                  <c:v>4.4535119999999999</c:v>
                </c:pt>
                <c:pt idx="1208">
                  <c:v>4.4104599999999996</c:v>
                </c:pt>
                <c:pt idx="1209">
                  <c:v>4.4535119999999999</c:v>
                </c:pt>
                <c:pt idx="1210">
                  <c:v>4.4846060000000003</c:v>
                </c:pt>
                <c:pt idx="1211">
                  <c:v>4.4104599999999996</c:v>
                </c:pt>
                <c:pt idx="1212">
                  <c:v>4.4582959999999998</c:v>
                </c:pt>
                <c:pt idx="1213">
                  <c:v>4.4606880000000002</c:v>
                </c:pt>
                <c:pt idx="1214">
                  <c:v>4.4559040000000003</c:v>
                </c:pt>
                <c:pt idx="1215">
                  <c:v>4.558751</c:v>
                </c:pt>
                <c:pt idx="1216">
                  <c:v>4.6065870000000002</c:v>
                </c:pt>
                <c:pt idx="1217">
                  <c:v>4.5467919999999999</c:v>
                </c:pt>
                <c:pt idx="1218">
                  <c:v>4.5133070000000002</c:v>
                </c:pt>
                <c:pt idx="1219">
                  <c:v>4.522875</c:v>
                </c:pt>
                <c:pt idx="1220">
                  <c:v>4.5563589999999996</c:v>
                </c:pt>
                <c:pt idx="1221">
                  <c:v>4.5563589999999996</c:v>
                </c:pt>
                <c:pt idx="1222">
                  <c:v>4.5563589999999996</c:v>
                </c:pt>
                <c:pt idx="1223">
                  <c:v>4.4893890000000001</c:v>
                </c:pt>
                <c:pt idx="1224">
                  <c:v>4.4391610000000004</c:v>
                </c:pt>
                <c:pt idx="1225">
                  <c:v>4.4726460000000001</c:v>
                </c:pt>
                <c:pt idx="1226">
                  <c:v>4.5276579999999997</c:v>
                </c:pt>
                <c:pt idx="1227">
                  <c:v>4.5922369999999999</c:v>
                </c:pt>
                <c:pt idx="1228">
                  <c:v>4.5180899999999999</c:v>
                </c:pt>
                <c:pt idx="1229">
                  <c:v>4.5276579999999997</c:v>
                </c:pt>
                <c:pt idx="1230">
                  <c:v>4.5635339999999998</c:v>
                </c:pt>
                <c:pt idx="1231">
                  <c:v>4.5826690000000001</c:v>
                </c:pt>
                <c:pt idx="1232">
                  <c:v>4.5611430000000004</c:v>
                </c:pt>
                <c:pt idx="1233">
                  <c:v>4.6137620000000004</c:v>
                </c:pt>
                <c:pt idx="1234">
                  <c:v>4.6137620000000004</c:v>
                </c:pt>
                <c:pt idx="1235">
                  <c:v>4.5826690000000001</c:v>
                </c:pt>
                <c:pt idx="1236">
                  <c:v>4.6328959999999997</c:v>
                </c:pt>
                <c:pt idx="1237">
                  <c:v>4.6281129999999999</c:v>
                </c:pt>
                <c:pt idx="1238">
                  <c:v>4.6352880000000001</c:v>
                </c:pt>
                <c:pt idx="1239">
                  <c:v>4.6735569999999997</c:v>
                </c:pt>
                <c:pt idx="1240">
                  <c:v>4.6735569999999997</c:v>
                </c:pt>
                <c:pt idx="1241">
                  <c:v>4.6687729999999998</c:v>
                </c:pt>
                <c:pt idx="1242">
                  <c:v>4.6113710000000001</c:v>
                </c:pt>
                <c:pt idx="1243">
                  <c:v>4.6663819999999996</c:v>
                </c:pt>
                <c:pt idx="1244">
                  <c:v>4.5683179999999997</c:v>
                </c:pt>
                <c:pt idx="1245">
                  <c:v>4.6496389999999996</c:v>
                </c:pt>
                <c:pt idx="1246">
                  <c:v>4.6424630000000002</c:v>
                </c:pt>
                <c:pt idx="1247">
                  <c:v>4.6615979999999997</c:v>
                </c:pt>
                <c:pt idx="1248">
                  <c:v>4.6424630000000002</c:v>
                </c:pt>
                <c:pt idx="1249">
                  <c:v>4.6257210000000004</c:v>
                </c:pt>
                <c:pt idx="1250">
                  <c:v>4.594627</c:v>
                </c:pt>
                <c:pt idx="1251">
                  <c:v>4.5970190000000004</c:v>
                </c:pt>
                <c:pt idx="1252">
                  <c:v>4.675948</c:v>
                </c:pt>
                <c:pt idx="1253">
                  <c:v>4.6639900000000001</c:v>
                </c:pt>
                <c:pt idx="1254">
                  <c:v>4.6592060000000002</c:v>
                </c:pt>
                <c:pt idx="1255">
                  <c:v>4.6879080000000002</c:v>
                </c:pt>
                <c:pt idx="1256">
                  <c:v>4.7477029999999996</c:v>
                </c:pt>
                <c:pt idx="1257">
                  <c:v>4.8361989999999997</c:v>
                </c:pt>
                <c:pt idx="1258">
                  <c:v>4.8505500000000001</c:v>
                </c:pt>
                <c:pt idx="1259">
                  <c:v>4.8361989999999997</c:v>
                </c:pt>
                <c:pt idx="1260">
                  <c:v>4.8266309999999999</c:v>
                </c:pt>
                <c:pt idx="1261">
                  <c:v>4.9031690000000001</c:v>
                </c:pt>
                <c:pt idx="1262">
                  <c:v>4.9031690000000001</c:v>
                </c:pt>
                <c:pt idx="1263">
                  <c:v>4.9270870000000002</c:v>
                </c:pt>
                <c:pt idx="1264">
                  <c:v>4.9940569999999997</c:v>
                </c:pt>
                <c:pt idx="1265">
                  <c:v>4.9940569999999997</c:v>
                </c:pt>
                <c:pt idx="1266">
                  <c:v>5.0466759999999997</c:v>
                </c:pt>
                <c:pt idx="1267">
                  <c:v>5.1997499999999999</c:v>
                </c:pt>
              </c:numCache>
            </c:numRef>
          </c:val>
          <c:smooth val="0"/>
          <c:extLst>
            <c:ext xmlns:c16="http://schemas.microsoft.com/office/drawing/2014/chart" uri="{C3380CC4-5D6E-409C-BE32-E72D297353CC}">
              <c16:uniqueId val="{00000001-5F85-40AE-88C8-7DA7887C93AC}"/>
            </c:ext>
          </c:extLst>
        </c:ser>
        <c:dLbls>
          <c:showLegendKey val="0"/>
          <c:showVal val="0"/>
          <c:showCatName val="0"/>
          <c:showSerName val="0"/>
          <c:showPercent val="0"/>
          <c:showBubbleSize val="0"/>
        </c:dLbls>
        <c:marker val="1"/>
        <c:smooth val="0"/>
        <c:axId val="1861234544"/>
        <c:axId val="2094619952"/>
      </c:lineChart>
      <c:dateAx>
        <c:axId val="1861234544"/>
        <c:scaling>
          <c:orientation val="minMax"/>
        </c:scaling>
        <c:delete val="0"/>
        <c:axPos val="b"/>
        <c:majorGridlines>
          <c:spPr>
            <a:ln w="9525" cap="flat" cmpd="sng" algn="ctr">
              <a:solidFill>
                <a:schemeClr val="tx1">
                  <a:lumMod val="15000"/>
                  <a:lumOff val="85000"/>
                </a:schemeClr>
              </a:solidFill>
              <a:round/>
            </a:ln>
            <a:effectLst/>
          </c:spPr>
        </c:majorGridlines>
        <c:numFmt formatCode="m/yy_)_)" sourceLinked="0"/>
        <c:majorTickMark val="out"/>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94619952"/>
        <c:crosses val="autoZero"/>
        <c:auto val="0"/>
        <c:lblOffset val="100"/>
        <c:baseTimeUnit val="days"/>
        <c:majorUnit val="3"/>
        <c:majorTimeUnit val="months"/>
      </c:dateAx>
      <c:valAx>
        <c:axId val="2094619952"/>
        <c:scaling>
          <c:orientation val="minMax"/>
        </c:scaling>
        <c:delete val="0"/>
        <c:axPos val="l"/>
        <c:majorGridlines>
          <c:spPr>
            <a:ln w="9525" cap="flat" cmpd="sng" algn="ctr">
              <a:solidFill>
                <a:schemeClr val="tx1">
                  <a:lumMod val="15000"/>
                  <a:lumOff val="85000"/>
                </a:schemeClr>
              </a:solidFill>
              <a:round/>
            </a:ln>
            <a:effectLst/>
          </c:spPr>
        </c:majorGridlines>
        <c:numFmt formatCode="#,##0.0_)_);\(#,##0.0\)_);\-_)_);@_)_)"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61234544"/>
        <c:crosses val="autoZero"/>
        <c:crossBetween val="between"/>
      </c:valAx>
      <c:valAx>
        <c:axId val="187786576"/>
        <c:scaling>
          <c:orientation val="minMax"/>
        </c:scaling>
        <c:delete val="0"/>
        <c:axPos val="r"/>
        <c:numFmt formatCode="#,##0.0_)_);\(#,##0.0\)_);\-_)_);@_)_)" sourceLinked="1"/>
        <c:majorTickMark val="out"/>
        <c:minorTickMark val="none"/>
        <c:tickLblPos val="nextTo"/>
        <c:spPr>
          <a:noFill/>
          <a:ln>
            <a:solidFill>
              <a:sysClr val="windowText" lastClr="000000"/>
            </a:solid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7788240"/>
        <c:crosses val="max"/>
        <c:crossBetween val="between"/>
      </c:valAx>
      <c:dateAx>
        <c:axId val="187788240"/>
        <c:scaling>
          <c:orientation val="minMax"/>
        </c:scaling>
        <c:delete val="1"/>
        <c:axPos val="b"/>
        <c:numFmt formatCode="dd/mm/yyyy_)_)" sourceLinked="1"/>
        <c:majorTickMark val="out"/>
        <c:minorTickMark val="none"/>
        <c:tickLblPos val="nextTo"/>
        <c:crossAx val="187786576"/>
        <c:crosses val="autoZero"/>
        <c:auto val="0"/>
        <c:lblOffset val="100"/>
        <c:baseTimeUnit val="days"/>
      </c:date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6</xdr:row>
      <xdr:rowOff>47036</xdr:rowOff>
    </xdr:from>
    <xdr:to>
      <xdr:col>14</xdr:col>
      <xdr:colOff>0</xdr:colOff>
      <xdr:row>21</xdr:row>
      <xdr:rowOff>35277</xdr:rowOff>
    </xdr:to>
    <xdr:pic>
      <xdr:nvPicPr>
        <xdr:cNvPr id="3" name="Picture 2" descr="Moncler | Holt Renfrew | Calgary | The CORE">
          <a:extLst>
            <a:ext uri="{FF2B5EF4-FFF2-40B4-BE49-F238E27FC236}">
              <a16:creationId xmlns:a16="http://schemas.microsoft.com/office/drawing/2014/main" id="{F1A869D4-A3CE-4B07-9799-C67D9951F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33333" y="893703"/>
          <a:ext cx="2351852" cy="25282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343958</xdr:colOff>
      <xdr:row>0</xdr:row>
      <xdr:rowOff>97014</xdr:rowOff>
    </xdr:from>
    <xdr:to>
      <xdr:col>13</xdr:col>
      <xdr:colOff>391936</xdr:colOff>
      <xdr:row>4</xdr:row>
      <xdr:rowOff>65970</xdr:rowOff>
    </xdr:to>
    <xdr:pic>
      <xdr:nvPicPr>
        <xdr:cNvPr id="2" name="Picture 1">
          <a:extLst>
            <a:ext uri="{FF2B5EF4-FFF2-40B4-BE49-F238E27FC236}">
              <a16:creationId xmlns:a16="http://schemas.microsoft.com/office/drawing/2014/main" id="{980FA21F-1F97-F38B-AA19-D62B49FBBB5F}"/>
            </a:ext>
          </a:extLst>
        </xdr:cNvPr>
        <xdr:cNvPicPr>
          <a:picLocks noChangeAspect="1"/>
        </xdr:cNvPicPr>
      </xdr:nvPicPr>
      <xdr:blipFill>
        <a:blip xmlns:r="http://schemas.openxmlformats.org/officeDocument/2006/relationships" r:embed="rId2"/>
        <a:stretch>
          <a:fillRect/>
        </a:stretch>
      </xdr:blipFill>
      <xdr:spPr>
        <a:xfrm>
          <a:off x="4550833" y="97014"/>
          <a:ext cx="1917700" cy="533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6</xdr:col>
      <xdr:colOff>0</xdr:colOff>
      <xdr:row>1</xdr:row>
      <xdr:rowOff>182880</xdr:rowOff>
    </xdr:from>
    <xdr:to>
      <xdr:col>8</xdr:col>
      <xdr:colOff>548640</xdr:colOff>
      <xdr:row>11</xdr:row>
      <xdr:rowOff>138360</xdr:rowOff>
    </xdr:to>
    <xdr:graphicFrame macro="">
      <xdr:nvGraphicFramePr>
        <xdr:cNvPr id="2" name="Chart 1">
          <a:extLst>
            <a:ext uri="{FF2B5EF4-FFF2-40B4-BE49-F238E27FC236}">
              <a16:creationId xmlns:a16="http://schemas.microsoft.com/office/drawing/2014/main" id="{00000000-0008-0000-1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1</xdr:row>
      <xdr:rowOff>182880</xdr:rowOff>
    </xdr:from>
    <xdr:to>
      <xdr:col>11</xdr:col>
      <xdr:colOff>297180</xdr:colOff>
      <xdr:row>11</xdr:row>
      <xdr:rowOff>138360</xdr:rowOff>
    </xdr:to>
    <xdr:graphicFrame macro="">
      <xdr:nvGraphicFramePr>
        <xdr:cNvPr id="3" name="Chart 2">
          <a:extLst>
            <a:ext uri="{FF2B5EF4-FFF2-40B4-BE49-F238E27FC236}">
              <a16:creationId xmlns:a16="http://schemas.microsoft.com/office/drawing/2014/main" id="{00000000-0008-0000-1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xdr:col>
      <xdr:colOff>990598</xdr:colOff>
      <xdr:row>167</xdr:row>
      <xdr:rowOff>157162</xdr:rowOff>
    </xdr:from>
    <xdr:to>
      <xdr:col>10</xdr:col>
      <xdr:colOff>390524</xdr:colOff>
      <xdr:row>187</xdr:row>
      <xdr:rowOff>47625</xdr:rowOff>
    </xdr:to>
    <xdr:graphicFrame macro="">
      <xdr:nvGraphicFramePr>
        <xdr:cNvPr id="4" name="Chart 1">
          <a:extLst>
            <a:ext uri="{FF2B5EF4-FFF2-40B4-BE49-F238E27FC236}">
              <a16:creationId xmlns:a16="http://schemas.microsoft.com/office/drawing/2014/main" id="{00000000-0008-0000-1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289560</xdr:colOff>
      <xdr:row>4</xdr:row>
      <xdr:rowOff>15240</xdr:rowOff>
    </xdr:from>
    <xdr:to>
      <xdr:col>17</xdr:col>
      <xdr:colOff>434340</xdr:colOff>
      <xdr:row>19</xdr:row>
      <xdr:rowOff>15240</xdr:rowOff>
    </xdr:to>
    <xdr:graphicFrame macro="">
      <xdr:nvGraphicFramePr>
        <xdr:cNvPr id="2" name="Chart 1">
          <a:extLst>
            <a:ext uri="{FF2B5EF4-FFF2-40B4-BE49-F238E27FC236}">
              <a16:creationId xmlns:a16="http://schemas.microsoft.com/office/drawing/2014/main" id="{00000000-0008-0000-1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454828</xdr:colOff>
      <xdr:row>5</xdr:row>
      <xdr:rowOff>111648</xdr:rowOff>
    </xdr:from>
    <xdr:to>
      <xdr:col>14</xdr:col>
      <xdr:colOff>0</xdr:colOff>
      <xdr:row>9</xdr:row>
      <xdr:rowOff>86806</xdr:rowOff>
    </xdr:to>
    <xdr:pic>
      <xdr:nvPicPr>
        <xdr:cNvPr id="2" name="Picture 1">
          <a:extLst>
            <a:ext uri="{FF2B5EF4-FFF2-40B4-BE49-F238E27FC236}">
              <a16:creationId xmlns:a16="http://schemas.microsoft.com/office/drawing/2014/main" id="{7C2331AB-8DCA-22A0-0AEC-B7FDCF40CE6F}"/>
            </a:ext>
          </a:extLst>
        </xdr:cNvPr>
        <xdr:cNvPicPr>
          <a:picLocks noChangeAspect="1"/>
        </xdr:cNvPicPr>
      </xdr:nvPicPr>
      <xdr:blipFill>
        <a:blip xmlns:r="http://schemas.openxmlformats.org/officeDocument/2006/relationships" r:embed="rId1"/>
        <a:stretch>
          <a:fillRect/>
        </a:stretch>
      </xdr:blipFill>
      <xdr:spPr>
        <a:xfrm>
          <a:off x="4725377" y="809450"/>
          <a:ext cx="1917700" cy="533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431800</xdr:colOff>
      <xdr:row>5</xdr:row>
      <xdr:rowOff>76200</xdr:rowOff>
    </xdr:from>
    <xdr:to>
      <xdr:col>14</xdr:col>
      <xdr:colOff>0</xdr:colOff>
      <xdr:row>9</xdr:row>
      <xdr:rowOff>50800</xdr:rowOff>
    </xdr:to>
    <xdr:pic>
      <xdr:nvPicPr>
        <xdr:cNvPr id="2" name="Picture 1">
          <a:extLst>
            <a:ext uri="{FF2B5EF4-FFF2-40B4-BE49-F238E27FC236}">
              <a16:creationId xmlns:a16="http://schemas.microsoft.com/office/drawing/2014/main" id="{8A037F4A-8B9F-058E-B0B0-65CE74400F9A}"/>
            </a:ext>
          </a:extLst>
        </xdr:cNvPr>
        <xdr:cNvPicPr>
          <a:picLocks noChangeAspect="1"/>
        </xdr:cNvPicPr>
      </xdr:nvPicPr>
      <xdr:blipFill>
        <a:blip xmlns:r="http://schemas.openxmlformats.org/officeDocument/2006/relationships" r:embed="rId1"/>
        <a:stretch>
          <a:fillRect/>
        </a:stretch>
      </xdr:blipFill>
      <xdr:spPr>
        <a:xfrm>
          <a:off x="4660900" y="774700"/>
          <a:ext cx="1917700" cy="533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77575</xdr:colOff>
      <xdr:row>7</xdr:row>
      <xdr:rowOff>98776</xdr:rowOff>
    </xdr:from>
    <xdr:to>
      <xdr:col>9</xdr:col>
      <xdr:colOff>77575</xdr:colOff>
      <xdr:row>33</xdr:row>
      <xdr:rowOff>77611</xdr:rowOff>
    </xdr:to>
    <xdr:cxnSp macro="">
      <xdr:nvCxnSpPr>
        <xdr:cNvPr id="46" name="Connettore dritto 244">
          <a:extLst>
            <a:ext uri="{FF2B5EF4-FFF2-40B4-BE49-F238E27FC236}">
              <a16:creationId xmlns:a16="http://schemas.microsoft.com/office/drawing/2014/main" id="{662F163C-48AD-46E7-A419-B01798F2C6A7}"/>
            </a:ext>
            <a:ext uri="{147F2762-F138-4A5C-976F-8EAC2B608ADB}">
              <a16:predDERef xmlns:a16="http://schemas.microsoft.com/office/drawing/2014/main" pred="{D09F00BC-A352-448B-9549-ACB9A0A88715}"/>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5884297" y="1157109"/>
          <a:ext cx="0" cy="4198058"/>
        </a:xfrm>
        <a:prstGeom prst="line">
          <a:avLst/>
        </a:prstGeom>
        <a:ln w="19050">
          <a:solidFill>
            <a:srgbClr val="CC9B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103543</xdr:colOff>
      <xdr:row>7</xdr:row>
      <xdr:rowOff>99787</xdr:rowOff>
    </xdr:from>
    <xdr:to>
      <xdr:col>10</xdr:col>
      <xdr:colOff>450850</xdr:colOff>
      <xdr:row>33</xdr:row>
      <xdr:rowOff>12700</xdr:rowOff>
    </xdr:to>
    <xdr:sp macro="" textlink="">
      <xdr:nvSpPr>
        <xdr:cNvPr id="44" name="Rectangle 20" descr="987bfb36-9ce8-4f02-aa52-fe75b6d1d2e6">
          <a:extLst>
            <a:ext uri="{FF2B5EF4-FFF2-40B4-BE49-F238E27FC236}">
              <a16:creationId xmlns:a16="http://schemas.microsoft.com/office/drawing/2014/main" id="{00000000-0008-0000-1300-000015000000}"/>
            </a:ext>
          </a:extLst>
        </xdr:cNvPr>
        <xdr:cNvSpPr/>
      </xdr:nvSpPr>
      <xdr:spPr>
        <a:xfrm>
          <a:off x="5932843" y="1166587"/>
          <a:ext cx="956907" cy="4205513"/>
        </a:xfrm>
        <a:prstGeom prst="rect">
          <a:avLst/>
        </a:prstGeom>
        <a:solidFill>
          <a:srgbClr val="FEF4C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8</xdr:col>
      <xdr:colOff>330527</xdr:colOff>
      <xdr:row>33</xdr:row>
      <xdr:rowOff>88021</xdr:rowOff>
    </xdr:from>
    <xdr:to>
      <xdr:col>9</xdr:col>
      <xdr:colOff>325582</xdr:colOff>
      <xdr:row>34</xdr:row>
      <xdr:rowOff>128941</xdr:rowOff>
    </xdr:to>
    <xdr:sp macro="" textlink="$E$48">
      <xdr:nvSpPr>
        <xdr:cNvPr id="35" name="Rectangle 24" descr="b8458025-00d5-486e-be92-4843917234e0">
          <a:extLst>
            <a:ext uri="{FF2B5EF4-FFF2-40B4-BE49-F238E27FC236}">
              <a16:creationId xmlns:a16="http://schemas.microsoft.com/office/drawing/2014/main" id="{00000000-0008-0000-1300-000019000000}"/>
            </a:ext>
            <a:ext uri="{147F2762-F138-4A5C-976F-8EAC2B608ADB}">
              <a16:predDERef xmlns:a16="http://schemas.microsoft.com/office/drawing/2014/main" pred="{00000000-0008-0000-1300-000015000000}"/>
            </a:ext>
          </a:extLst>
        </xdr:cNvPr>
        <xdr:cNvSpPr/>
      </xdr:nvSpPr>
      <xdr:spPr>
        <a:xfrm>
          <a:off x="5530471" y="5365577"/>
          <a:ext cx="601833" cy="2031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98CF3B14-953B-40A9-AB6A-577DC9E0B6E5}" type="TxLink">
            <a:rPr lang="en-US" sz="800" b="1" i="0" u="none" strike="noStrike">
              <a:solidFill>
                <a:srgbClr val="CC9B00"/>
              </a:solidFill>
              <a:latin typeface="Arial"/>
              <a:cs typeface="Arial"/>
            </a:rPr>
            <a:pPr marL="0" indent="0" algn="ctr"/>
            <a:t>13,667</a:t>
          </a:fld>
          <a:endParaRPr lang="en-US" sz="1000" b="1" i="0" u="none" strike="noStrike">
            <a:solidFill>
              <a:srgbClr val="CC9B00"/>
            </a:solidFill>
            <a:latin typeface="Arial" panose="020B0604020202020204" pitchFamily="34" charset="0"/>
            <a:cs typeface="Arial" panose="020B0604020202020204" pitchFamily="34" charset="0"/>
          </a:endParaRPr>
        </a:p>
      </xdr:txBody>
    </xdr:sp>
    <xdr:clientData/>
  </xdr:twoCellAnchor>
  <xdr:twoCellAnchor>
    <xdr:from>
      <xdr:col>10</xdr:col>
      <xdr:colOff>131701</xdr:colOff>
      <xdr:row>33</xdr:row>
      <xdr:rowOff>85197</xdr:rowOff>
    </xdr:from>
    <xdr:to>
      <xdr:col>11</xdr:col>
      <xdr:colOff>124558</xdr:colOff>
      <xdr:row>34</xdr:row>
      <xdr:rowOff>126469</xdr:rowOff>
    </xdr:to>
    <xdr:sp macro="" textlink="$E$50">
      <xdr:nvSpPr>
        <xdr:cNvPr id="36" name="Rectangle 25" descr="652e84bd-473c-44f8-95a5-59ebf1a556b6">
          <a:extLst>
            <a:ext uri="{FF2B5EF4-FFF2-40B4-BE49-F238E27FC236}">
              <a16:creationId xmlns:a16="http://schemas.microsoft.com/office/drawing/2014/main" id="{00000000-0008-0000-1300-00001A000000}"/>
            </a:ext>
            <a:ext uri="{147F2762-F138-4A5C-976F-8EAC2B608ADB}">
              <a16:predDERef xmlns:a16="http://schemas.microsoft.com/office/drawing/2014/main" pred="{00000000-0008-0000-1300-000019000000}"/>
            </a:ext>
          </a:extLst>
        </xdr:cNvPr>
        <xdr:cNvSpPr/>
      </xdr:nvSpPr>
      <xdr:spPr>
        <a:xfrm>
          <a:off x="6545201" y="5362753"/>
          <a:ext cx="599635" cy="203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7CFAC21F-7402-47ED-8997-E86572A55BBF}" type="TxLink">
            <a:rPr lang="en-US" sz="800" b="1" i="0" u="none" strike="noStrike">
              <a:solidFill>
                <a:srgbClr val="CC9B00"/>
              </a:solidFill>
              <a:latin typeface="Arial"/>
              <a:cs typeface="Arial"/>
            </a:rPr>
            <a:pPr algn="ctr"/>
            <a:t>17,925</a:t>
          </a:fld>
          <a:endParaRPr lang="it-IT" sz="1000" b="1">
            <a:solidFill>
              <a:srgbClr val="CC9B00"/>
            </a:solidFill>
            <a:latin typeface="Arial" panose="020B0604020202020204" pitchFamily="34" charset="0"/>
            <a:cs typeface="Arial" panose="020B0604020202020204" pitchFamily="34" charset="0"/>
          </a:endParaRPr>
        </a:p>
      </xdr:txBody>
    </xdr:sp>
    <xdr:clientData/>
  </xdr:twoCellAnchor>
  <xdr:twoCellAnchor>
    <xdr:from>
      <xdr:col>10</xdr:col>
      <xdr:colOff>434644</xdr:colOff>
      <xdr:row>7</xdr:row>
      <xdr:rowOff>115093</xdr:rowOff>
    </xdr:from>
    <xdr:to>
      <xdr:col>12</xdr:col>
      <xdr:colOff>99511</xdr:colOff>
      <xdr:row>11</xdr:row>
      <xdr:rowOff>134937</xdr:rowOff>
    </xdr:to>
    <xdr:sp macro="" textlink="">
      <xdr:nvSpPr>
        <xdr:cNvPr id="9" name="Rectangle 30" descr="91e34bad-086e-4da3-9f5b-2e46306d884e">
          <a:extLst>
            <a:ext uri="{FF2B5EF4-FFF2-40B4-BE49-F238E27FC236}">
              <a16:creationId xmlns:a16="http://schemas.microsoft.com/office/drawing/2014/main" id="{00000000-0008-0000-1300-000011000000}"/>
            </a:ext>
            <a:ext uri="{147F2762-F138-4A5C-976F-8EAC2B608ADB}">
              <a16:predDERef xmlns:a16="http://schemas.microsoft.com/office/drawing/2014/main" pred="{00000000-0008-0000-1300-000018000000}"/>
            </a:ext>
          </a:extLst>
        </xdr:cNvPr>
        <xdr:cNvSpPr/>
      </xdr:nvSpPr>
      <xdr:spPr>
        <a:xfrm>
          <a:off x="6887832" y="1186656"/>
          <a:ext cx="887242" cy="6865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it-IT" sz="800" b="1">
              <a:solidFill>
                <a:srgbClr val="CC9B00"/>
              </a:solidFill>
              <a:latin typeface="Arial" panose="020B0604020202020204" pitchFamily="34" charset="0"/>
              <a:cs typeface="Arial" panose="020B0604020202020204" pitchFamily="34" charset="0"/>
            </a:rPr>
            <a:t>Moncler reasonable</a:t>
          </a:r>
          <a:r>
            <a:rPr lang="it-IT" sz="800" b="1" baseline="0">
              <a:solidFill>
                <a:srgbClr val="CC9B00"/>
              </a:solidFill>
              <a:latin typeface="Arial" panose="020B0604020202020204" pitchFamily="34" charset="0"/>
              <a:cs typeface="Arial" panose="020B0604020202020204" pitchFamily="34" charset="0"/>
            </a:rPr>
            <a:t> value range</a:t>
          </a:r>
          <a:endParaRPr lang="it-IT" sz="800" b="1">
            <a:solidFill>
              <a:srgbClr val="CC9B00"/>
            </a:solidFill>
            <a:latin typeface="Arial" panose="020B0604020202020204" pitchFamily="34" charset="0"/>
            <a:cs typeface="Arial" panose="020B0604020202020204" pitchFamily="34" charset="0"/>
          </a:endParaRPr>
        </a:p>
      </xdr:txBody>
    </xdr:sp>
    <xdr:clientData/>
  </xdr:twoCellAnchor>
  <xdr:twoCellAnchor>
    <xdr:from>
      <xdr:col>1</xdr:col>
      <xdr:colOff>2905</xdr:colOff>
      <xdr:row>9</xdr:row>
      <xdr:rowOff>121596</xdr:rowOff>
    </xdr:from>
    <xdr:to>
      <xdr:col>2</xdr:col>
      <xdr:colOff>209550</xdr:colOff>
      <xdr:row>14</xdr:row>
      <xdr:rowOff>9525</xdr:rowOff>
    </xdr:to>
    <xdr:sp macro="" textlink="">
      <xdr:nvSpPr>
        <xdr:cNvPr id="24" name="TextBox 1">
          <a:extLst>
            <a:ext uri="{FF2B5EF4-FFF2-40B4-BE49-F238E27FC236}">
              <a16:creationId xmlns:a16="http://schemas.microsoft.com/office/drawing/2014/main" id="{00000000-0008-0000-1300-000002000000}"/>
            </a:ext>
            <a:ext uri="{147F2762-F138-4A5C-976F-8EAC2B608ADB}">
              <a16:predDERef xmlns:a16="http://schemas.microsoft.com/office/drawing/2014/main" pred="{00000000-0008-0000-1300-000011000000}"/>
            </a:ext>
          </a:extLst>
        </xdr:cNvPr>
        <xdr:cNvSpPr txBox="1"/>
      </xdr:nvSpPr>
      <xdr:spPr>
        <a:xfrm>
          <a:off x="854075" y="1499681"/>
          <a:ext cx="895688" cy="698567"/>
        </a:xfrm>
        <a:prstGeom prst="rect">
          <a:avLst/>
        </a:prstGeom>
        <a:solidFill>
          <a:srgbClr val="FFC000">
            <a:alpha val="72000"/>
          </a:srgb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en-US" sz="900" b="1">
              <a:solidFill>
                <a:schemeClr val="tx1"/>
              </a:solidFill>
              <a:latin typeface="Arial" panose="020B0604020202020204" pitchFamily="34" charset="0"/>
              <a:cs typeface="Arial" panose="020B0604020202020204" pitchFamily="34" charset="0"/>
            </a:rPr>
            <a:t>Intrinsic methods</a:t>
          </a:r>
        </a:p>
      </xdr:txBody>
    </xdr:sp>
    <xdr:clientData/>
  </xdr:twoCellAnchor>
  <xdr:twoCellAnchor>
    <xdr:from>
      <xdr:col>0</xdr:col>
      <xdr:colOff>942975</xdr:colOff>
      <xdr:row>14</xdr:row>
      <xdr:rowOff>47625</xdr:rowOff>
    </xdr:from>
    <xdr:to>
      <xdr:col>2</xdr:col>
      <xdr:colOff>209550</xdr:colOff>
      <xdr:row>29</xdr:row>
      <xdr:rowOff>152400</xdr:rowOff>
    </xdr:to>
    <xdr:sp macro="" textlink="">
      <xdr:nvSpPr>
        <xdr:cNvPr id="23" name="TextBox 12">
          <a:extLst>
            <a:ext uri="{FF2B5EF4-FFF2-40B4-BE49-F238E27FC236}">
              <a16:creationId xmlns:a16="http://schemas.microsoft.com/office/drawing/2014/main" id="{00000000-0008-0000-1300-00000D000000}"/>
            </a:ext>
            <a:ext uri="{147F2762-F138-4A5C-976F-8EAC2B608ADB}">
              <a16:predDERef xmlns:a16="http://schemas.microsoft.com/office/drawing/2014/main" pred="{00000000-0008-0000-1300-000002000000}"/>
            </a:ext>
          </a:extLst>
        </xdr:cNvPr>
        <xdr:cNvSpPr txBox="1"/>
      </xdr:nvSpPr>
      <xdr:spPr>
        <a:xfrm>
          <a:off x="942975" y="2219325"/>
          <a:ext cx="828675" cy="2533650"/>
        </a:xfrm>
        <a:prstGeom prst="rect">
          <a:avLst/>
        </a:prstGeom>
        <a:solidFill>
          <a:srgbClr val="FFC000">
            <a:alpha val="41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en-US" sz="900" b="1">
              <a:solidFill>
                <a:schemeClr val="tx1"/>
              </a:solidFill>
              <a:latin typeface="Arial" panose="020B0604020202020204" pitchFamily="34" charset="0"/>
              <a:cs typeface="Arial" panose="020B0604020202020204" pitchFamily="34" charset="0"/>
            </a:rPr>
            <a:t>Trading multiples</a:t>
          </a:r>
        </a:p>
      </xdr:txBody>
    </xdr:sp>
    <xdr:clientData/>
  </xdr:twoCellAnchor>
  <xdr:twoCellAnchor>
    <xdr:from>
      <xdr:col>7</xdr:col>
      <xdr:colOff>67759</xdr:colOff>
      <xdr:row>7</xdr:row>
      <xdr:rowOff>63891</xdr:rowOff>
    </xdr:from>
    <xdr:to>
      <xdr:col>8</xdr:col>
      <xdr:colOff>579300</xdr:colOff>
      <xdr:row>10</xdr:row>
      <xdr:rowOff>104237</xdr:rowOff>
    </xdr:to>
    <xdr:sp macro="" textlink="">
      <xdr:nvSpPr>
        <xdr:cNvPr id="105" name="Rectangle 17" descr="4f8e5c12-3229-4eea-9895-ba0f36806f3d">
          <a:extLst>
            <a:ext uri="{FF2B5EF4-FFF2-40B4-BE49-F238E27FC236}">
              <a16:creationId xmlns:a16="http://schemas.microsoft.com/office/drawing/2014/main" id="{00000000-0008-0000-1300-000012000000}"/>
            </a:ext>
            <a:ext uri="{147F2762-F138-4A5C-976F-8EAC2B608ADB}">
              <a16:predDERef xmlns:a16="http://schemas.microsoft.com/office/drawing/2014/main" pred="{00000000-0008-0000-1300-00000D000000}"/>
            </a:ext>
          </a:extLst>
        </xdr:cNvPr>
        <xdr:cNvSpPr/>
      </xdr:nvSpPr>
      <xdr:spPr>
        <a:xfrm>
          <a:off x="4687384" y="1135454"/>
          <a:ext cx="1122729" cy="5404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800" b="1">
              <a:solidFill>
                <a:srgbClr val="C00000"/>
              </a:solidFill>
              <a:latin typeface="Arial" panose="020B0604020202020204" pitchFamily="34" charset="0"/>
              <a:cs typeface="Arial" panose="020B0604020202020204" pitchFamily="34" charset="0"/>
            </a:rPr>
            <a:t>1</a:t>
          </a:r>
          <a:r>
            <a:rPr lang="en-US" sz="800" b="1" i="0" u="none" strike="noStrike">
              <a:solidFill>
                <a:srgbClr val="C00000"/>
              </a:solidFill>
              <a:latin typeface="Arial" panose="020B0604020202020204" pitchFamily="34" charset="0"/>
              <a:cs typeface="Arial" panose="020B0604020202020204" pitchFamily="34" charset="0"/>
            </a:rPr>
            <a:t>3,314</a:t>
          </a:r>
          <a:endParaRPr lang="en-US" sz="800" b="1">
            <a:solidFill>
              <a:srgbClr val="C00000"/>
            </a:solidFill>
            <a:latin typeface="Arial" panose="020B0604020202020204" pitchFamily="34" charset="0"/>
            <a:cs typeface="Arial" panose="020B0604020202020204" pitchFamily="34" charset="0"/>
          </a:endParaRPr>
        </a:p>
        <a:p>
          <a:pPr marL="0" indent="0" algn="l"/>
          <a:r>
            <a:rPr lang="en-US" sz="800" b="1">
              <a:solidFill>
                <a:srgbClr val="C00000"/>
              </a:solidFill>
              <a:latin typeface="Arial" panose="020B0604020202020204" pitchFamily="34" charset="0"/>
              <a:cs typeface="Arial" panose="020B0604020202020204" pitchFamily="34" charset="0"/>
            </a:rPr>
            <a:t>M</a:t>
          </a:r>
          <a:r>
            <a:rPr lang="en-US" sz="800" b="1" i="0" u="none" strike="noStrike">
              <a:solidFill>
                <a:srgbClr val="C00000"/>
              </a:solidFill>
              <a:latin typeface="Arial" panose="020B0604020202020204" pitchFamily="34" charset="0"/>
              <a:cs typeface="Arial" panose="020B0604020202020204" pitchFamily="34" charset="0"/>
            </a:rPr>
            <a:t>oncler</a:t>
          </a:r>
          <a:r>
            <a:rPr lang="en-US" sz="800" b="1">
              <a:solidFill>
                <a:srgbClr val="C00000"/>
              </a:solidFill>
              <a:latin typeface="Arial" panose="020B0604020202020204" pitchFamily="34" charset="0"/>
              <a:cs typeface="Arial" panose="020B0604020202020204" pitchFamily="34" charset="0"/>
            </a:rPr>
            <a:t>'s market cap. </a:t>
          </a:r>
          <a:r>
            <a:rPr lang="en-US" sz="800" b="1" i="0" u="none" strike="noStrike">
              <a:solidFill>
                <a:srgbClr val="C00000"/>
              </a:solidFill>
              <a:latin typeface="Arial" panose="020B0604020202020204" pitchFamily="34" charset="0"/>
              <a:cs typeface="Arial" panose="020B0604020202020204" pitchFamily="34" charset="0"/>
            </a:rPr>
            <a:t>30/12/2022</a:t>
          </a:r>
        </a:p>
      </xdr:txBody>
    </xdr:sp>
    <xdr:clientData/>
  </xdr:twoCellAnchor>
  <xdr:twoCellAnchor>
    <xdr:from>
      <xdr:col>8</xdr:col>
      <xdr:colOff>485061</xdr:colOff>
      <xdr:row>7</xdr:row>
      <xdr:rowOff>110067</xdr:rowOff>
    </xdr:from>
    <xdr:to>
      <xdr:col>8</xdr:col>
      <xdr:colOff>503680</xdr:colOff>
      <xdr:row>30</xdr:row>
      <xdr:rowOff>63500</xdr:rowOff>
    </xdr:to>
    <xdr:cxnSp macro="">
      <xdr:nvCxnSpPr>
        <xdr:cNvPr id="26" name="Connettore dritto 1">
          <a:extLst>
            <a:ext uri="{FF2B5EF4-FFF2-40B4-BE49-F238E27FC236}">
              <a16:creationId xmlns:a16="http://schemas.microsoft.com/office/drawing/2014/main" id="{D09F00BC-A352-448B-9549-ACB9A0A88715}"/>
            </a:ext>
            <a:ext uri="{147F2762-F138-4A5C-976F-8EAC2B608ADB}">
              <a16:predDERef xmlns:a16="http://schemas.microsoft.com/office/drawing/2014/main" pred="{00000000-0008-0000-1300-000016000000}"/>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5692061" y="1171424"/>
          <a:ext cx="18619" cy="3709005"/>
        </a:xfrm>
        <a:prstGeom prst="line">
          <a:avLst/>
        </a:prstGeom>
        <a:ln w="19050">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450496</xdr:colOff>
      <xdr:row>7</xdr:row>
      <xdr:rowOff>80637</xdr:rowOff>
    </xdr:from>
    <xdr:to>
      <xdr:col>10</xdr:col>
      <xdr:colOff>462739</xdr:colOff>
      <xdr:row>32</xdr:row>
      <xdr:rowOff>152400</xdr:rowOff>
    </xdr:to>
    <xdr:cxnSp macro="">
      <xdr:nvCxnSpPr>
        <xdr:cNvPr id="45" name="Connettore dritto 244">
          <a:extLst>
            <a:ext uri="{FF2B5EF4-FFF2-40B4-BE49-F238E27FC236}">
              <a16:creationId xmlns:a16="http://schemas.microsoft.com/office/drawing/2014/main" id="{6706BEE1-94F7-420B-8C19-FD06EB58899E}"/>
            </a:ext>
            <a:ext uri="{147F2762-F138-4A5C-976F-8EAC2B608ADB}">
              <a16:predDERef xmlns:a16="http://schemas.microsoft.com/office/drawing/2014/main" pred="{D09F00BC-A352-448B-9549-ACB9A0A88715}"/>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6889396" y="1147437"/>
          <a:ext cx="12243" cy="4199263"/>
        </a:xfrm>
        <a:prstGeom prst="line">
          <a:avLst/>
        </a:prstGeom>
        <a:ln w="19050">
          <a:solidFill>
            <a:srgbClr val="CC9B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6</xdr:row>
      <xdr:rowOff>152400</xdr:rowOff>
    </xdr:from>
    <xdr:to>
      <xdr:col>16</xdr:col>
      <xdr:colOff>419100</xdr:colOff>
      <xdr:row>32</xdr:row>
      <xdr:rowOff>123825</xdr:rowOff>
    </xdr:to>
    <xdr:graphicFrame macro="">
      <xdr:nvGraphicFramePr>
        <xdr:cNvPr id="61" name="Chart 21">
          <a:extLst>
            <a:ext uri="{FF2B5EF4-FFF2-40B4-BE49-F238E27FC236}">
              <a16:creationId xmlns:a16="http://schemas.microsoft.com/office/drawing/2014/main" id="{00000000-0008-0000-1300-000016000000}"/>
            </a:ext>
            <a:ext uri="{147F2762-F138-4A5C-976F-8EAC2B608ADB}">
              <a16:predDERef xmlns:a16="http://schemas.microsoft.com/office/drawing/2014/main" pred="{6706BEE1-94F7-420B-8C19-FD06EB5889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332268</xdr:colOff>
      <xdr:row>5</xdr:row>
      <xdr:rowOff>51686</xdr:rowOff>
    </xdr:from>
    <xdr:to>
      <xdr:col>17</xdr:col>
      <xdr:colOff>64387</xdr:colOff>
      <xdr:row>9</xdr:row>
      <xdr:rowOff>31306</xdr:rowOff>
    </xdr:to>
    <xdr:pic>
      <xdr:nvPicPr>
        <xdr:cNvPr id="3" name="Picture 2">
          <a:extLst>
            <a:ext uri="{FF2B5EF4-FFF2-40B4-BE49-F238E27FC236}">
              <a16:creationId xmlns:a16="http://schemas.microsoft.com/office/drawing/2014/main" id="{8DBE8472-9DB6-158E-5BF0-0D7362451346}"/>
            </a:ext>
          </a:extLst>
        </xdr:cNvPr>
        <xdr:cNvPicPr>
          <a:picLocks noChangeAspect="1"/>
        </xdr:cNvPicPr>
      </xdr:nvPicPr>
      <xdr:blipFill>
        <a:blip xmlns:r="http://schemas.openxmlformats.org/officeDocument/2006/relationships" r:embed="rId2"/>
        <a:stretch>
          <a:fillRect/>
        </a:stretch>
      </xdr:blipFill>
      <xdr:spPr>
        <a:xfrm>
          <a:off x="7981803" y="886046"/>
          <a:ext cx="1917700"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122025</xdr:colOff>
      <xdr:row>7</xdr:row>
      <xdr:rowOff>98776</xdr:rowOff>
    </xdr:from>
    <xdr:to>
      <xdr:col>9</xdr:col>
      <xdr:colOff>122025</xdr:colOff>
      <xdr:row>33</xdr:row>
      <xdr:rowOff>77611</xdr:rowOff>
    </xdr:to>
    <xdr:cxnSp macro="">
      <xdr:nvCxnSpPr>
        <xdr:cNvPr id="2" name="Connettore dritto 244">
          <a:extLst>
            <a:ext uri="{FF2B5EF4-FFF2-40B4-BE49-F238E27FC236}">
              <a16:creationId xmlns:a16="http://schemas.microsoft.com/office/drawing/2014/main" id="{A8CB8E40-5FB8-422B-9A3B-7753C9E76488}"/>
            </a:ext>
            <a:ext uri="{147F2762-F138-4A5C-976F-8EAC2B608ADB}">
              <a16:predDERef xmlns:a16="http://schemas.microsoft.com/office/drawing/2014/main" pred="{D09F00BC-A352-448B-9549-ACB9A0A88715}"/>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5951325" y="1165576"/>
          <a:ext cx="0" cy="4271435"/>
        </a:xfrm>
        <a:prstGeom prst="line">
          <a:avLst/>
        </a:prstGeom>
        <a:ln w="19050">
          <a:solidFill>
            <a:srgbClr val="CC9B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147993</xdr:colOff>
      <xdr:row>7</xdr:row>
      <xdr:rowOff>99787</xdr:rowOff>
    </xdr:from>
    <xdr:to>
      <xdr:col>10</xdr:col>
      <xdr:colOff>446616</xdr:colOff>
      <xdr:row>33</xdr:row>
      <xdr:rowOff>57453</xdr:rowOff>
    </xdr:to>
    <xdr:sp macro="" textlink="">
      <xdr:nvSpPr>
        <xdr:cNvPr id="3" name="Rectangle 20" descr="987bfb36-9ce8-4f02-aa52-fe75b6d1d2e6">
          <a:extLst>
            <a:ext uri="{FF2B5EF4-FFF2-40B4-BE49-F238E27FC236}">
              <a16:creationId xmlns:a16="http://schemas.microsoft.com/office/drawing/2014/main" id="{F05D4EC1-3AD7-4932-8200-0EE9783D7902}"/>
            </a:ext>
          </a:extLst>
        </xdr:cNvPr>
        <xdr:cNvSpPr/>
      </xdr:nvSpPr>
      <xdr:spPr>
        <a:xfrm>
          <a:off x="5977293" y="1166587"/>
          <a:ext cx="908223" cy="4250266"/>
        </a:xfrm>
        <a:prstGeom prst="rect">
          <a:avLst/>
        </a:prstGeom>
        <a:solidFill>
          <a:srgbClr val="FEF4C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8</xdr:col>
      <xdr:colOff>330527</xdr:colOff>
      <xdr:row>33</xdr:row>
      <xdr:rowOff>88021</xdr:rowOff>
    </xdr:from>
    <xdr:to>
      <xdr:col>9</xdr:col>
      <xdr:colOff>325582</xdr:colOff>
      <xdr:row>34</xdr:row>
      <xdr:rowOff>128941</xdr:rowOff>
    </xdr:to>
    <xdr:sp macro="" textlink="$E$47">
      <xdr:nvSpPr>
        <xdr:cNvPr id="4" name="Rectangle 24" descr="b8458025-00d5-486e-be92-4843917234e0">
          <a:extLst>
            <a:ext uri="{FF2B5EF4-FFF2-40B4-BE49-F238E27FC236}">
              <a16:creationId xmlns:a16="http://schemas.microsoft.com/office/drawing/2014/main" id="{0018E765-5ABC-4ED5-B289-980745F8C598}"/>
            </a:ext>
            <a:ext uri="{147F2762-F138-4A5C-976F-8EAC2B608ADB}">
              <a16:predDERef xmlns:a16="http://schemas.microsoft.com/office/drawing/2014/main" pred="{00000000-0008-0000-1300-000015000000}"/>
            </a:ext>
          </a:extLst>
        </xdr:cNvPr>
        <xdr:cNvSpPr/>
      </xdr:nvSpPr>
      <xdr:spPr>
        <a:xfrm>
          <a:off x="5550227" y="5447421"/>
          <a:ext cx="604655" cy="206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98CF3B14-953B-40A9-AB6A-577DC9E0B6E5}" type="TxLink">
            <a:rPr lang="en-US" sz="800" b="1" i="0" u="none" strike="noStrike">
              <a:solidFill>
                <a:srgbClr val="CC9B00"/>
              </a:solidFill>
              <a:latin typeface="Arial"/>
              <a:cs typeface="Arial"/>
            </a:rPr>
            <a:pPr marL="0" indent="0" algn="ctr"/>
            <a:t>13,667</a:t>
          </a:fld>
          <a:endParaRPr lang="en-US" sz="1000" b="1" i="0" u="none" strike="noStrike">
            <a:solidFill>
              <a:srgbClr val="CC9B00"/>
            </a:solidFill>
            <a:latin typeface="Arial" panose="020B0604020202020204" pitchFamily="34" charset="0"/>
            <a:cs typeface="Arial" panose="020B0604020202020204" pitchFamily="34" charset="0"/>
          </a:endParaRPr>
        </a:p>
      </xdr:txBody>
    </xdr:sp>
    <xdr:clientData/>
  </xdr:twoCellAnchor>
  <xdr:twoCellAnchor>
    <xdr:from>
      <xdr:col>10</xdr:col>
      <xdr:colOff>131701</xdr:colOff>
      <xdr:row>33</xdr:row>
      <xdr:rowOff>85197</xdr:rowOff>
    </xdr:from>
    <xdr:to>
      <xdr:col>11</xdr:col>
      <xdr:colOff>124558</xdr:colOff>
      <xdr:row>34</xdr:row>
      <xdr:rowOff>126469</xdr:rowOff>
    </xdr:to>
    <xdr:sp macro="" textlink="$E$49">
      <xdr:nvSpPr>
        <xdr:cNvPr id="5" name="Rectangle 25" descr="652e84bd-473c-44f8-95a5-59ebf1a556b6">
          <a:extLst>
            <a:ext uri="{FF2B5EF4-FFF2-40B4-BE49-F238E27FC236}">
              <a16:creationId xmlns:a16="http://schemas.microsoft.com/office/drawing/2014/main" id="{E6A730CA-F845-4026-86BC-7A0AE18E3418}"/>
            </a:ext>
            <a:ext uri="{147F2762-F138-4A5C-976F-8EAC2B608ADB}">
              <a16:predDERef xmlns:a16="http://schemas.microsoft.com/office/drawing/2014/main" pred="{00000000-0008-0000-1300-000019000000}"/>
            </a:ext>
          </a:extLst>
        </xdr:cNvPr>
        <xdr:cNvSpPr/>
      </xdr:nvSpPr>
      <xdr:spPr>
        <a:xfrm>
          <a:off x="6570601" y="5444597"/>
          <a:ext cx="602457" cy="2063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7CFAC21F-7402-47ED-8997-E86572A55BBF}" type="TxLink">
            <a:rPr lang="en-US" sz="800" b="1" i="0" u="none" strike="noStrike">
              <a:solidFill>
                <a:srgbClr val="CC9B00"/>
              </a:solidFill>
              <a:latin typeface="Arial"/>
              <a:cs typeface="Arial"/>
            </a:rPr>
            <a:pPr algn="ctr"/>
            <a:t>17,925</a:t>
          </a:fld>
          <a:endParaRPr lang="it-IT" sz="1000" b="1">
            <a:solidFill>
              <a:srgbClr val="CC9B00"/>
            </a:solidFill>
            <a:latin typeface="Arial" panose="020B0604020202020204" pitchFamily="34" charset="0"/>
            <a:cs typeface="Arial" panose="020B0604020202020204" pitchFamily="34" charset="0"/>
          </a:endParaRPr>
        </a:p>
      </xdr:txBody>
    </xdr:sp>
    <xdr:clientData/>
  </xdr:twoCellAnchor>
  <xdr:twoCellAnchor>
    <xdr:from>
      <xdr:col>10</xdr:col>
      <xdr:colOff>434644</xdr:colOff>
      <xdr:row>7</xdr:row>
      <xdr:rowOff>115093</xdr:rowOff>
    </xdr:from>
    <xdr:to>
      <xdr:col>12</xdr:col>
      <xdr:colOff>99511</xdr:colOff>
      <xdr:row>11</xdr:row>
      <xdr:rowOff>134937</xdr:rowOff>
    </xdr:to>
    <xdr:sp macro="" textlink="">
      <xdr:nvSpPr>
        <xdr:cNvPr id="7" name="Rectangle 30" descr="91e34bad-086e-4da3-9f5b-2e46306d884e">
          <a:extLst>
            <a:ext uri="{FF2B5EF4-FFF2-40B4-BE49-F238E27FC236}">
              <a16:creationId xmlns:a16="http://schemas.microsoft.com/office/drawing/2014/main" id="{DF58F85A-9474-4546-8EC9-1E5CA65F1A28}"/>
            </a:ext>
            <a:ext uri="{147F2762-F138-4A5C-976F-8EAC2B608ADB}">
              <a16:predDERef xmlns:a16="http://schemas.microsoft.com/office/drawing/2014/main" pred="{00000000-0008-0000-1300-000018000000}"/>
            </a:ext>
          </a:extLst>
        </xdr:cNvPr>
        <xdr:cNvSpPr/>
      </xdr:nvSpPr>
      <xdr:spPr>
        <a:xfrm>
          <a:off x="6873544" y="1181893"/>
          <a:ext cx="884067" cy="6802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it-IT" sz="800" b="1">
              <a:solidFill>
                <a:srgbClr val="CC9B00"/>
              </a:solidFill>
              <a:latin typeface="Arial" panose="020B0604020202020204" pitchFamily="34" charset="0"/>
              <a:cs typeface="Arial" panose="020B0604020202020204" pitchFamily="34" charset="0"/>
            </a:rPr>
            <a:t>Moncler reasonable</a:t>
          </a:r>
          <a:r>
            <a:rPr lang="it-IT" sz="800" b="1" baseline="0">
              <a:solidFill>
                <a:srgbClr val="CC9B00"/>
              </a:solidFill>
              <a:latin typeface="Arial" panose="020B0604020202020204" pitchFamily="34" charset="0"/>
              <a:cs typeface="Arial" panose="020B0604020202020204" pitchFamily="34" charset="0"/>
            </a:rPr>
            <a:t> value range</a:t>
          </a:r>
          <a:endParaRPr lang="it-IT" sz="800" b="1">
            <a:solidFill>
              <a:srgbClr val="CC9B00"/>
            </a:solidFill>
            <a:latin typeface="Arial" panose="020B0604020202020204" pitchFamily="34" charset="0"/>
            <a:cs typeface="Arial" panose="020B0604020202020204" pitchFamily="34" charset="0"/>
          </a:endParaRPr>
        </a:p>
      </xdr:txBody>
    </xdr:sp>
    <xdr:clientData/>
  </xdr:twoCellAnchor>
  <xdr:twoCellAnchor>
    <xdr:from>
      <xdr:col>0</xdr:col>
      <xdr:colOff>942975</xdr:colOff>
      <xdr:row>10</xdr:row>
      <xdr:rowOff>95250</xdr:rowOff>
    </xdr:from>
    <xdr:to>
      <xdr:col>2</xdr:col>
      <xdr:colOff>209550</xdr:colOff>
      <xdr:row>14</xdr:row>
      <xdr:rowOff>9525</xdr:rowOff>
    </xdr:to>
    <xdr:sp macro="" textlink="">
      <xdr:nvSpPr>
        <xdr:cNvPr id="8" name="TextBox 1">
          <a:extLst>
            <a:ext uri="{FF2B5EF4-FFF2-40B4-BE49-F238E27FC236}">
              <a16:creationId xmlns:a16="http://schemas.microsoft.com/office/drawing/2014/main" id="{F0816343-EE59-4EB8-AB62-9789BA19C7B9}"/>
            </a:ext>
            <a:ext uri="{147F2762-F138-4A5C-976F-8EAC2B608ADB}">
              <a16:predDERef xmlns:a16="http://schemas.microsoft.com/office/drawing/2014/main" pred="{00000000-0008-0000-1300-000011000000}"/>
            </a:ext>
          </a:extLst>
        </xdr:cNvPr>
        <xdr:cNvSpPr txBox="1"/>
      </xdr:nvSpPr>
      <xdr:spPr>
        <a:xfrm>
          <a:off x="942975" y="1657350"/>
          <a:ext cx="828675" cy="574675"/>
        </a:xfrm>
        <a:prstGeom prst="rect">
          <a:avLst/>
        </a:prstGeom>
        <a:solidFill>
          <a:srgbClr val="FFC000">
            <a:alpha val="72000"/>
          </a:srgb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en-US" sz="900" b="1">
              <a:solidFill>
                <a:schemeClr val="tx1"/>
              </a:solidFill>
              <a:latin typeface="Arial" panose="020B0604020202020204" pitchFamily="34" charset="0"/>
              <a:cs typeface="Arial" panose="020B0604020202020204" pitchFamily="34" charset="0"/>
            </a:rPr>
            <a:t>Intrinsic methods</a:t>
          </a:r>
        </a:p>
      </xdr:txBody>
    </xdr:sp>
    <xdr:clientData/>
  </xdr:twoCellAnchor>
  <xdr:twoCellAnchor>
    <xdr:from>
      <xdr:col>0</xdr:col>
      <xdr:colOff>942975</xdr:colOff>
      <xdr:row>14</xdr:row>
      <xdr:rowOff>47625</xdr:rowOff>
    </xdr:from>
    <xdr:to>
      <xdr:col>2</xdr:col>
      <xdr:colOff>209550</xdr:colOff>
      <xdr:row>29</xdr:row>
      <xdr:rowOff>152400</xdr:rowOff>
    </xdr:to>
    <xdr:sp macro="" textlink="">
      <xdr:nvSpPr>
        <xdr:cNvPr id="9" name="TextBox 12">
          <a:extLst>
            <a:ext uri="{FF2B5EF4-FFF2-40B4-BE49-F238E27FC236}">
              <a16:creationId xmlns:a16="http://schemas.microsoft.com/office/drawing/2014/main" id="{8B66F7C2-6351-4577-B068-E2BBD96ED8E5}"/>
            </a:ext>
            <a:ext uri="{147F2762-F138-4A5C-976F-8EAC2B608ADB}">
              <a16:predDERef xmlns:a16="http://schemas.microsoft.com/office/drawing/2014/main" pred="{00000000-0008-0000-1300-000002000000}"/>
            </a:ext>
          </a:extLst>
        </xdr:cNvPr>
        <xdr:cNvSpPr txBox="1"/>
      </xdr:nvSpPr>
      <xdr:spPr>
        <a:xfrm>
          <a:off x="942975" y="2270125"/>
          <a:ext cx="828675" cy="2581275"/>
        </a:xfrm>
        <a:prstGeom prst="rect">
          <a:avLst/>
        </a:prstGeom>
        <a:solidFill>
          <a:srgbClr val="FFC000">
            <a:alpha val="41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en-US" sz="900" b="1">
              <a:solidFill>
                <a:schemeClr val="tx1"/>
              </a:solidFill>
              <a:latin typeface="Arial" panose="020B0604020202020204" pitchFamily="34" charset="0"/>
              <a:cs typeface="Arial" panose="020B0604020202020204" pitchFamily="34" charset="0"/>
            </a:rPr>
            <a:t>Trading multiples</a:t>
          </a:r>
        </a:p>
      </xdr:txBody>
    </xdr:sp>
    <xdr:clientData/>
  </xdr:twoCellAnchor>
  <xdr:twoCellAnchor>
    <xdr:from>
      <xdr:col>7</xdr:col>
      <xdr:colOff>67759</xdr:colOff>
      <xdr:row>7</xdr:row>
      <xdr:rowOff>63891</xdr:rowOff>
    </xdr:from>
    <xdr:to>
      <xdr:col>8</xdr:col>
      <xdr:colOff>579300</xdr:colOff>
      <xdr:row>10</xdr:row>
      <xdr:rowOff>104237</xdr:rowOff>
    </xdr:to>
    <xdr:sp macro="" textlink="">
      <xdr:nvSpPr>
        <xdr:cNvPr id="10" name="Rectangle 17" descr="4f8e5c12-3229-4eea-9895-ba0f36806f3d">
          <a:extLst>
            <a:ext uri="{FF2B5EF4-FFF2-40B4-BE49-F238E27FC236}">
              <a16:creationId xmlns:a16="http://schemas.microsoft.com/office/drawing/2014/main" id="{6C1D74E8-0F81-42E0-9078-3C61D88A65D4}"/>
            </a:ext>
            <a:ext uri="{147F2762-F138-4A5C-976F-8EAC2B608ADB}">
              <a16:predDERef xmlns:a16="http://schemas.microsoft.com/office/drawing/2014/main" pred="{00000000-0008-0000-1300-00000D000000}"/>
            </a:ext>
          </a:extLst>
        </xdr:cNvPr>
        <xdr:cNvSpPr/>
      </xdr:nvSpPr>
      <xdr:spPr>
        <a:xfrm>
          <a:off x="4677859" y="1130691"/>
          <a:ext cx="1121141" cy="5356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800" b="1">
              <a:solidFill>
                <a:srgbClr val="C00000"/>
              </a:solidFill>
              <a:latin typeface="Arial" panose="020B0604020202020204" pitchFamily="34" charset="0"/>
              <a:cs typeface="Arial" panose="020B0604020202020204" pitchFamily="34" charset="0"/>
            </a:rPr>
            <a:t>1</a:t>
          </a:r>
          <a:r>
            <a:rPr lang="en-US" sz="800" b="1" i="0" u="none" strike="noStrike">
              <a:solidFill>
                <a:srgbClr val="C00000"/>
              </a:solidFill>
              <a:latin typeface="Arial" panose="020B0604020202020204" pitchFamily="34" charset="0"/>
              <a:cs typeface="Arial" panose="020B0604020202020204" pitchFamily="34" charset="0"/>
            </a:rPr>
            <a:t>3,314</a:t>
          </a:r>
          <a:endParaRPr lang="en-US" sz="800" b="1">
            <a:solidFill>
              <a:srgbClr val="C00000"/>
            </a:solidFill>
            <a:latin typeface="Arial" panose="020B0604020202020204" pitchFamily="34" charset="0"/>
            <a:cs typeface="Arial" panose="020B0604020202020204" pitchFamily="34" charset="0"/>
          </a:endParaRPr>
        </a:p>
        <a:p>
          <a:pPr marL="0" indent="0" algn="l"/>
          <a:r>
            <a:rPr lang="en-US" sz="800" b="1">
              <a:solidFill>
                <a:srgbClr val="C00000"/>
              </a:solidFill>
              <a:latin typeface="Arial" panose="020B0604020202020204" pitchFamily="34" charset="0"/>
              <a:cs typeface="Arial" panose="020B0604020202020204" pitchFamily="34" charset="0"/>
            </a:rPr>
            <a:t>M</a:t>
          </a:r>
          <a:r>
            <a:rPr lang="en-US" sz="800" b="1" i="0" u="none" strike="noStrike">
              <a:solidFill>
                <a:srgbClr val="C00000"/>
              </a:solidFill>
              <a:latin typeface="Arial" panose="020B0604020202020204" pitchFamily="34" charset="0"/>
              <a:cs typeface="Arial" panose="020B0604020202020204" pitchFamily="34" charset="0"/>
            </a:rPr>
            <a:t>oncler</a:t>
          </a:r>
          <a:r>
            <a:rPr lang="en-US" sz="800" b="1">
              <a:solidFill>
                <a:srgbClr val="C00000"/>
              </a:solidFill>
              <a:latin typeface="Arial" panose="020B0604020202020204" pitchFamily="34" charset="0"/>
              <a:cs typeface="Arial" panose="020B0604020202020204" pitchFamily="34" charset="0"/>
            </a:rPr>
            <a:t>'s market cap. </a:t>
          </a:r>
          <a:r>
            <a:rPr lang="en-US" sz="800" b="1" i="0" u="none" strike="noStrike">
              <a:solidFill>
                <a:srgbClr val="C00000"/>
              </a:solidFill>
              <a:latin typeface="Arial" panose="020B0604020202020204" pitchFamily="34" charset="0"/>
              <a:cs typeface="Arial" panose="020B0604020202020204" pitchFamily="34" charset="0"/>
            </a:rPr>
            <a:t>30/12/2022</a:t>
          </a:r>
        </a:p>
      </xdr:txBody>
    </xdr:sp>
    <xdr:clientData/>
  </xdr:twoCellAnchor>
  <xdr:twoCellAnchor>
    <xdr:from>
      <xdr:col>8</xdr:col>
      <xdr:colOff>485061</xdr:colOff>
      <xdr:row>7</xdr:row>
      <xdr:rowOff>110067</xdr:rowOff>
    </xdr:from>
    <xdr:to>
      <xdr:col>8</xdr:col>
      <xdr:colOff>503680</xdr:colOff>
      <xdr:row>30</xdr:row>
      <xdr:rowOff>63500</xdr:rowOff>
    </xdr:to>
    <xdr:cxnSp macro="">
      <xdr:nvCxnSpPr>
        <xdr:cNvPr id="11" name="Connettore dritto 1">
          <a:extLst>
            <a:ext uri="{FF2B5EF4-FFF2-40B4-BE49-F238E27FC236}">
              <a16:creationId xmlns:a16="http://schemas.microsoft.com/office/drawing/2014/main" id="{563644FB-F351-483B-B0A8-CEAF511986DC}"/>
            </a:ext>
            <a:ext uri="{147F2762-F138-4A5C-976F-8EAC2B608ADB}">
              <a16:predDERef xmlns:a16="http://schemas.microsoft.com/office/drawing/2014/main" pred="{00000000-0008-0000-1300-000016000000}"/>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5704761" y="1176867"/>
          <a:ext cx="18619" cy="3750733"/>
        </a:xfrm>
        <a:prstGeom prst="line">
          <a:avLst/>
        </a:prstGeom>
        <a:ln w="19050">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456846</xdr:colOff>
      <xdr:row>7</xdr:row>
      <xdr:rowOff>80637</xdr:rowOff>
    </xdr:from>
    <xdr:to>
      <xdr:col>10</xdr:col>
      <xdr:colOff>469348</xdr:colOff>
      <xdr:row>33</xdr:row>
      <xdr:rowOff>76200</xdr:rowOff>
    </xdr:to>
    <xdr:cxnSp macro="">
      <xdr:nvCxnSpPr>
        <xdr:cNvPr id="12" name="Connettore dritto 244">
          <a:extLst>
            <a:ext uri="{FF2B5EF4-FFF2-40B4-BE49-F238E27FC236}">
              <a16:creationId xmlns:a16="http://schemas.microsoft.com/office/drawing/2014/main" id="{3C2253B9-93D4-47A9-B359-2234B77DC678}"/>
            </a:ext>
            <a:ext uri="{147F2762-F138-4A5C-976F-8EAC2B608ADB}">
              <a16:predDERef xmlns:a16="http://schemas.microsoft.com/office/drawing/2014/main" pred="{D09F00BC-A352-448B-9549-ACB9A0A88715}"/>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6895746" y="1147437"/>
          <a:ext cx="12502" cy="4288163"/>
        </a:xfrm>
        <a:prstGeom prst="line">
          <a:avLst/>
        </a:prstGeom>
        <a:ln w="19050">
          <a:solidFill>
            <a:srgbClr val="CC9B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6</xdr:row>
      <xdr:rowOff>152400</xdr:rowOff>
    </xdr:from>
    <xdr:to>
      <xdr:col>16</xdr:col>
      <xdr:colOff>419100</xdr:colOff>
      <xdr:row>32</xdr:row>
      <xdr:rowOff>123825</xdr:rowOff>
    </xdr:to>
    <xdr:graphicFrame macro="">
      <xdr:nvGraphicFramePr>
        <xdr:cNvPr id="27" name="Chart 21">
          <a:extLst>
            <a:ext uri="{FF2B5EF4-FFF2-40B4-BE49-F238E27FC236}">
              <a16:creationId xmlns:a16="http://schemas.microsoft.com/office/drawing/2014/main" id="{3F3F9E7A-ABED-42B7-BE57-AA5CF4416761}"/>
            </a:ext>
            <a:ext uri="{147F2762-F138-4A5C-976F-8EAC2B608ADB}">
              <a16:predDERef xmlns:a16="http://schemas.microsoft.com/office/drawing/2014/main" pred="{3C2253B9-93D4-47A9-B359-2234B77DC6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331304</xdr:colOff>
      <xdr:row>5</xdr:row>
      <xdr:rowOff>55216</xdr:rowOff>
    </xdr:from>
    <xdr:to>
      <xdr:col>17</xdr:col>
      <xdr:colOff>71861</xdr:colOff>
      <xdr:row>9</xdr:row>
      <xdr:rowOff>28554</xdr:rowOff>
    </xdr:to>
    <xdr:pic>
      <xdr:nvPicPr>
        <xdr:cNvPr id="13" name="Picture 12">
          <a:extLst>
            <a:ext uri="{FF2B5EF4-FFF2-40B4-BE49-F238E27FC236}">
              <a16:creationId xmlns:a16="http://schemas.microsoft.com/office/drawing/2014/main" id="{AF011B81-0073-34FD-FFCC-2AB8CBB09833}"/>
            </a:ext>
          </a:extLst>
        </xdr:cNvPr>
        <xdr:cNvPicPr>
          <a:picLocks noChangeAspect="1"/>
        </xdr:cNvPicPr>
      </xdr:nvPicPr>
      <xdr:blipFill>
        <a:blip xmlns:r="http://schemas.openxmlformats.org/officeDocument/2006/relationships" r:embed="rId2"/>
        <a:stretch>
          <a:fillRect/>
        </a:stretch>
      </xdr:blipFill>
      <xdr:spPr>
        <a:xfrm>
          <a:off x="7714658" y="891365"/>
          <a:ext cx="1917700" cy="533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336550</xdr:colOff>
      <xdr:row>1</xdr:row>
      <xdr:rowOff>98425</xdr:rowOff>
    </xdr:from>
    <xdr:to>
      <xdr:col>16</xdr:col>
      <xdr:colOff>107950</xdr:colOff>
      <xdr:row>23</xdr:row>
      <xdr:rowOff>76200</xdr:rowOff>
    </xdr:to>
    <xdr:graphicFrame macro="">
      <xdr:nvGraphicFramePr>
        <xdr:cNvPr id="166" name="Grafico 2">
          <a:extLst>
            <a:ext uri="{FF2B5EF4-FFF2-40B4-BE49-F238E27FC236}">
              <a16:creationId xmlns:a16="http://schemas.microsoft.com/office/drawing/2014/main" id="{91673A4B-C888-587B-7CF9-C1D8872801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393700</xdr:colOff>
      <xdr:row>5</xdr:row>
      <xdr:rowOff>12700</xdr:rowOff>
    </xdr:from>
    <xdr:to>
      <xdr:col>14</xdr:col>
      <xdr:colOff>361950</xdr:colOff>
      <xdr:row>10</xdr:row>
      <xdr:rowOff>0</xdr:rowOff>
    </xdr:to>
    <xdr:cxnSp macro="">
      <xdr:nvCxnSpPr>
        <xdr:cNvPr id="109" name="Straight Arrow Connector 17">
          <a:extLst>
            <a:ext uri="{FF2B5EF4-FFF2-40B4-BE49-F238E27FC236}">
              <a16:creationId xmlns:a16="http://schemas.microsoft.com/office/drawing/2014/main" id="{152A9297-AB98-B6BA-122F-5BC4D158CE94}"/>
            </a:ext>
          </a:extLst>
        </xdr:cNvPr>
        <xdr:cNvCxnSpPr/>
      </xdr:nvCxnSpPr>
      <xdr:spPr>
        <a:xfrm flipV="1">
          <a:off x="4457700" y="654050"/>
          <a:ext cx="3016250" cy="622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127000</xdr:colOff>
      <xdr:row>6</xdr:row>
      <xdr:rowOff>38100</xdr:rowOff>
    </xdr:from>
    <xdr:to>
      <xdr:col>12</xdr:col>
      <xdr:colOff>317500</xdr:colOff>
      <xdr:row>9</xdr:row>
      <xdr:rowOff>25400</xdr:rowOff>
    </xdr:to>
    <xdr:sp macro="" textlink="">
      <xdr:nvSpPr>
        <xdr:cNvPr id="164" name="Oval 24">
          <a:extLst>
            <a:ext uri="{FF2B5EF4-FFF2-40B4-BE49-F238E27FC236}">
              <a16:creationId xmlns:a16="http://schemas.microsoft.com/office/drawing/2014/main" id="{DD3381B8-594D-E846-CEB2-74B7EAC846CE}"/>
            </a:ext>
          </a:extLst>
        </xdr:cNvPr>
        <xdr:cNvSpPr/>
      </xdr:nvSpPr>
      <xdr:spPr>
        <a:xfrm>
          <a:off x="5715000" y="806450"/>
          <a:ext cx="698500" cy="368300"/>
        </a:xfrm>
        <a:prstGeom prst="ellipse">
          <a:avLst/>
        </a:prstGeom>
        <a:solidFill>
          <a:schemeClr val="bg1"/>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11</xdr:col>
      <xdr:colOff>202137</xdr:colOff>
      <xdr:row>6</xdr:row>
      <xdr:rowOff>95250</xdr:rowOff>
    </xdr:from>
    <xdr:ext cx="548227" cy="248851"/>
    <xdr:sp macro="" textlink="$B$5">
      <xdr:nvSpPr>
        <xdr:cNvPr id="165" name="TextBox 25">
          <a:extLst>
            <a:ext uri="{FF2B5EF4-FFF2-40B4-BE49-F238E27FC236}">
              <a16:creationId xmlns:a16="http://schemas.microsoft.com/office/drawing/2014/main" id="{D0848282-01C1-95E1-FAC5-19A40E83CDB1}"/>
            </a:ext>
          </a:extLst>
        </xdr:cNvPr>
        <xdr:cNvSpPr txBox="1"/>
      </xdr:nvSpPr>
      <xdr:spPr>
        <a:xfrm>
          <a:off x="5790137" y="863600"/>
          <a:ext cx="548227"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4A6413BF-B216-4B97-9C03-0911723583A9}" type="TxLink">
            <a:rPr lang="en-US" sz="1000" b="1" i="0" u="none" strike="noStrike">
              <a:solidFill>
                <a:sysClr val="windowText" lastClr="000000"/>
              </a:solidFill>
              <a:latin typeface="Arial"/>
              <a:cs typeface="Arial"/>
            </a:rPr>
            <a:pPr/>
            <a:t>9.32%</a:t>
          </a:fld>
          <a:endParaRPr lang="en-US" sz="1000" b="1">
            <a:solidFill>
              <a:sysClr val="windowText" lastClr="000000"/>
            </a:solidFill>
          </a:endParaRPr>
        </a:p>
      </xdr:txBody>
    </xdr:sp>
    <xdr:clientData/>
  </xdr:oneCellAnchor>
  <xdr:twoCellAnchor>
    <xdr:from>
      <xdr:col>8</xdr:col>
      <xdr:colOff>184150</xdr:colOff>
      <xdr:row>28</xdr:row>
      <xdr:rowOff>44450</xdr:rowOff>
    </xdr:from>
    <xdr:to>
      <xdr:col>17</xdr:col>
      <xdr:colOff>88900</xdr:colOff>
      <xdr:row>49</xdr:row>
      <xdr:rowOff>63499</xdr:rowOff>
    </xdr:to>
    <xdr:graphicFrame macro="">
      <xdr:nvGraphicFramePr>
        <xdr:cNvPr id="339" name="Chart 34">
          <a:extLst>
            <a:ext uri="{FF2B5EF4-FFF2-40B4-BE49-F238E27FC236}">
              <a16:creationId xmlns:a16="http://schemas.microsoft.com/office/drawing/2014/main" id="{923A5E32-0E4C-6653-1947-8DE81B027F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0.42251</cdr:x>
      <cdr:y>0.10971</cdr:y>
    </cdr:from>
    <cdr:to>
      <cdr:x>0.55195</cdr:x>
      <cdr:y>0.19929</cdr:y>
    </cdr:to>
    <cdr:sp macro="" textlink="">
      <cdr:nvSpPr>
        <cdr:cNvPr id="2" name="TextBox 25">
          <a:extLst xmlns:a="http://schemas.openxmlformats.org/drawingml/2006/main">
            <a:ext uri="{FF2B5EF4-FFF2-40B4-BE49-F238E27FC236}">
              <a16:creationId xmlns:a16="http://schemas.microsoft.com/office/drawing/2014/main" id="{D0848282-01C1-95E1-FAC5-19A40E83CDB1}"/>
            </a:ext>
          </a:extLst>
        </cdr:cNvPr>
        <cdr:cNvSpPr txBox="1"/>
      </cdr:nvSpPr>
      <cdr:spPr>
        <a:xfrm xmlns:a="http://schemas.openxmlformats.org/drawingml/2006/main">
          <a:off x="1835150" y="304800"/>
          <a:ext cx="562205" cy="248851"/>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sz="1000" b="1" i="0" u="none" strike="noStrike">
              <a:solidFill>
                <a:sysClr val="windowText" lastClr="000000"/>
              </a:solidFill>
              <a:latin typeface="Arial"/>
              <a:cs typeface="Arial"/>
            </a:rPr>
            <a:t>CAGR</a:t>
          </a:r>
          <a:endParaRPr lang="en-US" sz="1000" b="1">
            <a:solidFill>
              <a:sysClr val="windowText" lastClr="000000"/>
            </a:solidFill>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18</xdr:col>
      <xdr:colOff>3968</xdr:colOff>
      <xdr:row>29</xdr:row>
      <xdr:rowOff>13493</xdr:rowOff>
    </xdr:from>
    <xdr:to>
      <xdr:col>24</xdr:col>
      <xdr:colOff>603250</xdr:colOff>
      <xdr:row>48</xdr:row>
      <xdr:rowOff>103189</xdr:rowOff>
    </xdr:to>
    <xdr:graphicFrame macro="">
      <xdr:nvGraphicFramePr>
        <xdr:cNvPr id="2" name="Chart 1">
          <a:extLst>
            <a:ext uri="{FF2B5EF4-FFF2-40B4-BE49-F238E27FC236}">
              <a16:creationId xmlns:a16="http://schemas.microsoft.com/office/drawing/2014/main" id="{2824767E-8362-4169-996A-7BFB0DB89D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0.18558</cdr:x>
      <cdr:y>0.52547</cdr:y>
    </cdr:from>
    <cdr:to>
      <cdr:x>0.40193</cdr:x>
      <cdr:y>0.60488</cdr:y>
    </cdr:to>
    <cdr:sp macro="" textlink="">
      <cdr:nvSpPr>
        <cdr:cNvPr id="2" name="TextBox 1">
          <a:extLst xmlns:a="http://schemas.openxmlformats.org/drawingml/2006/main">
            <a:ext uri="{FF2B5EF4-FFF2-40B4-BE49-F238E27FC236}">
              <a16:creationId xmlns:a16="http://schemas.microsoft.com/office/drawing/2014/main" id="{A34216BD-27D5-4FF5-3510-6BB6C00B66AC}"/>
            </a:ext>
          </a:extLst>
        </cdr:cNvPr>
        <cdr:cNvSpPr txBox="1"/>
      </cdr:nvSpPr>
      <cdr:spPr>
        <a:xfrm xmlns:a="http://schemas.openxmlformats.org/drawingml/2006/main">
          <a:off x="837406" y="2153445"/>
          <a:ext cx="976313" cy="32543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a:solidFill>
                <a:srgbClr val="FF0000"/>
              </a:solidFill>
              <a:latin typeface="Arial" panose="020B0604020202020204" pitchFamily="34" charset="0"/>
              <a:cs typeface="Arial" panose="020B0604020202020204" pitchFamily="34" charset="0"/>
            </a:rPr>
            <a:t>Moncler</a:t>
          </a:r>
          <a:r>
            <a:rPr lang="en-US" sz="800" baseline="0">
              <a:solidFill>
                <a:srgbClr val="FF0000"/>
              </a:solidFill>
              <a:latin typeface="Arial" panose="020B0604020202020204" pitchFamily="34" charset="0"/>
              <a:cs typeface="Arial" panose="020B0604020202020204" pitchFamily="34" charset="0"/>
            </a:rPr>
            <a:t> market cap end 2022</a:t>
          </a:r>
          <a:endParaRPr lang="en-US" sz="800">
            <a:solidFill>
              <a:srgbClr val="FF0000"/>
            </a:solidFill>
            <a:latin typeface="Arial" panose="020B0604020202020204" pitchFamily="34" charset="0"/>
            <a:cs typeface="Arial" panose="020B0604020202020204" pitchFamily="34" charset="0"/>
          </a:endParaRPr>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2a3ace71a96133ec/Desktop/Bocconi/Corporate%20Valuation/Moncler%20Project/Moncler%20Trading%20Multiples%20and%20wacc.xlsx" TargetMode="External"/><Relationship Id="rId1" Type="http://schemas.openxmlformats.org/officeDocument/2006/relationships/externalLinkPath" Target="file:///C:/Users/asus/OneDrive/Desktop/Bocconi/Corporate%20Valuation/Moncler%20Project/Moncler%20Trading%20Multiples%20and%20wac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ALBERTO/BOCCONI/3&#176;%20anno/PRIMO%20SEMESTRE/CORPORATE%20VALUATION/Case%20Study%20-%20Campari%20-%20Model%20-%20vF.xlsx" TargetMode="External"/><Relationship Id="rId1" Type="http://schemas.openxmlformats.org/officeDocument/2006/relationships/externalLinkPath" Target="/ALBERTO/BOCCONI/3&#176;%20anno/PRIMO%20SEMESTRE/CORPORATE%20VALUATION/Case%20Study%20-%20Campari%20-%20Model%20-%20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ACC"/>
      <sheetName val="Comps data"/>
    </sheetNames>
    <sheetDataSet>
      <sheetData sheetId="0"/>
      <sheetData sheetId="1">
        <row r="10">
          <cell r="E10">
            <v>941.70800000000008</v>
          </cell>
        </row>
        <row r="11">
          <cell r="E11">
            <v>7900.3540000000003</v>
          </cell>
        </row>
        <row r="13">
          <cell r="E13">
            <v>4698.7999999999993</v>
          </cell>
        </row>
        <row r="14">
          <cell r="E14">
            <v>2742.2869999999998</v>
          </cell>
        </row>
        <row r="15">
          <cell r="E15">
            <v>1881.9826999999998</v>
          </cell>
        </row>
        <row r="16">
          <cell r="E16">
            <v>7153.8590000000004</v>
          </cell>
        </row>
        <row r="26">
          <cell r="E26">
            <v>13314.226562999998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gt;&gt;&gt;"/>
      <sheetName val="Inputs &gt;&gt;&gt;"/>
      <sheetName val="AsReported"/>
      <sheetName val="Restatements"/>
      <sheetName val="Assumptions"/>
      <sheetName val="Calculations &gt;&gt;&gt;"/>
      <sheetName val="SalesOPEX"/>
      <sheetName val="Investments"/>
      <sheetName val="Others"/>
      <sheetName val="Financing"/>
      <sheetName val="Output &gt;&gt;&gt;"/>
      <sheetName val="Output"/>
      <sheetName val="Analysis"/>
      <sheetName val="Valuation &gt;&gt;&gt;"/>
      <sheetName val="WACC"/>
      <sheetName val="TV"/>
      <sheetName val="DCF"/>
      <sheetName val="TradingMultiples"/>
      <sheetName val="DealMultiples"/>
      <sheetName val="FootballField"/>
      <sheetName val="Advanced &gt;&gt;&gt;"/>
      <sheetName val="MergerModel"/>
      <sheetName val="LBOModel"/>
      <sheetName val="AVP"/>
      <sheetName val="Benchmark"/>
      <sheetName val="SlidesBackup"/>
      <sheetName val="Backups"/>
      <sheetName val="DA Schedules"/>
    </sheetNames>
    <sheetDataSet>
      <sheetData sheetId="0"/>
      <sheetData sheetId="1"/>
      <sheetData sheetId="2"/>
      <sheetData sheetId="3"/>
      <sheetData sheetId="4"/>
      <sheetData sheetId="5"/>
      <sheetData sheetId="6"/>
      <sheetData sheetId="7"/>
      <sheetData sheetId="8"/>
      <sheetData sheetId="9"/>
      <sheetData sheetId="10"/>
      <sheetData sheetId="11">
        <row r="65">
          <cell r="I65">
            <v>1270.4000000000001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1">
  <rv s="0">
    <v>https://www.bing.com/financeapi/forcetrigger?t=ajgphw&amp;q=XMIL%3aTOD&amp;form=skydnc</v>
    <v>Learn more on Bing</v>
  </rv>
  <rv s="1">
    <v>0</v>
    <v>Tod's SpA (XMIL:TOD)</v>
    <v>2</v>
    <v>3</v>
    <v>Finance</v>
    <v>4</v>
    <v>en-GB</v>
    <v>ajgphw</v>
    <v>268435456</v>
    <v>1</v>
    <v>1</v>
    <v>Powered by Refinitiv</v>
    <v>45.56</v>
    <v>29.9</v>
    <v>0.73029999999999995</v>
    <v>-0.7</v>
    <v>-2.0022999999999999E-2</v>
    <v>EUR</v>
    <v>Tod's SpA is an Italy-based holding company. The Company, through its subsidiaries, is primarily engaged in creation, production and distribution of shoes, leather goods and accessories, apparel. The Company operates in the luxury sector under brands, such as TOD'S, ROGER VIVIER, HOGAN and FAY. The Company produces shoes and leather goods in its plants, with partial outsourcing to specialized workshops. The Company offers its products to customers through a network of specialized stores. The Company relies on approximately three channels: directly operated stores (DOS), franchised retail outlets, as well as a series of selected, independent multiband stores. The TOD'S brand offers shoes and luxury leather goods. ROGER VIVIER brand offers shoes, handbags, small leather goods, jewellery, as well as sunglasses. HOGAN brand offers shoe collections for women, men, children, as well as crafts various leather goods items. FAY brand offers a product range of casual wear for men and women.</v>
    <v>5123</v>
    <v>Borsa Italiana</v>
    <v>XMIL</v>
    <v>XMIL</v>
    <v>Via Filippo Della Valle, 1, SANT ELPIDIO A MARE, FERMO, 63811 IT</v>
    <v>35.08</v>
    <v>Textiles &amp; Apparel</v>
    <v>Stock</v>
    <v>45282.708333333336</v>
    <v>0</v>
    <v>34.24</v>
    <v>1156950000</v>
    <v>Tod's SpA</v>
    <v>Tod's SpA</v>
    <v>35.08</v>
    <v>21.7224</v>
    <v>34.96</v>
    <v>34.26</v>
    <v>33093540</v>
    <v>TOD</v>
    <v>Tod's SpA (XMIL:TOD)</v>
    <v>49683</v>
    <v>62470</v>
  </rv>
  <rv s="2">
    <v>1</v>
  </rv>
  <rv s="0">
    <v>https://www.bing.com/financeapi/forcetrigger?t=ao6p1h&amp;q=XLON%3aBRBY&amp;form=skydnc</v>
    <v>Learn more on Bing</v>
  </rv>
  <rv s="3">
    <v>5</v>
    <v>BURBERRY GROUP PLC (XLON:BRBY)</v>
    <v>2</v>
    <v>6</v>
    <v>Finance</v>
    <v>7</v>
    <v>en-GB</v>
    <v>ao6p1h</v>
    <v>268435456</v>
    <v>1</v>
    <v>Powered by Refinitiv</v>
    <v>1376.5</v>
    <v>597</v>
    <v>1.5749</v>
    <v>9</v>
    <v>8.2570000000000005E-3</v>
    <v>GBp</v>
    <v>Burberry Group plc is a United Kingdom-based global luxury goods manufacturer, retailer, and wholesaler. The Company also licenses third parties to manufacture and distribute products using the Burberry trademarks. The Company's segments include Retail/wholesale and Licensing. The Retail/wholesale segment is engaged in the sale of luxury goods through Burberry mainline stores, concessions, outlets, and digital commerce, as well as Burberry franchisees, department stores globally and multi-brand specialty accounts. The flow of global product between retail and wholesale channels and across its regions is monitored and optimized at a corporate level and implemented via the Company's inventory hubs situated in Europe, the United States, mainland China, Hong Kong, and Special Administrative Regions (S.A.R.) China. The Company’s Licensing segment includes royalties from global licensees of beauty products, eyewear and licenses relating to the use of non-Burberry trademarks in Japan.</v>
    <v>8459</v>
    <v>London Stock Exchange</v>
    <v>XLON</v>
    <v>XLON</v>
    <v>Horseferry House, Horseferry Road, Westminster, LONDON, SW1P 2AW GB</v>
    <v>1112.5</v>
    <v>Specialty Retailers</v>
    <v>Stock</v>
    <v>46086.41281857578</v>
    <v>3</v>
    <v>1068.5</v>
    <v>4734352000</v>
    <v>BURBERRY GROUP PLC</v>
    <v>BURBERRY GROUP PLC</v>
    <v>1080.5</v>
    <v>0</v>
    <v>1090</v>
    <v>1099</v>
    <v>360995100</v>
    <v>BRBY</v>
    <v>BURBERRY GROUP PLC (XLON:BRBY)</v>
    <v>104347</v>
    <v>1180520</v>
    <v>1997</v>
  </rv>
  <rv s="2">
    <v>4</v>
  </rv>
  <rv s="0">
    <v>https://www.bing.com/financeapi/forcetrigger?t=ajgdtc&amp;q=XMIL%3aSFER&amp;form=skydnc</v>
    <v>Learn more on Bing</v>
  </rv>
  <rv s="4">
    <v>8</v>
    <v>Salvatore Ferragamo SpA (XMIL:SFER)</v>
    <v>2</v>
    <v>3</v>
    <v>Finance</v>
    <v>4</v>
    <v>en-GB</v>
    <v>ajgdtc</v>
    <v>268435456</v>
    <v>1</v>
    <v>Powered by Refinitiv</v>
    <v>8.7100000000000009</v>
    <v>4.3499999999999996</v>
    <v>1.1313</v>
    <v>5.5E-2</v>
    <v>9.0460000000000002E-3</v>
    <v>EUR</v>
    <v>Salvatore Ferragamo SpA is an Italy-based company engaged in fashion industry. The Company mainly creates, develops and produces textiles goods and shoes. The Company’s products categories are responsible for the manufacture and sale of footwear, leather goods, clothing and accessories for men and women. The Company’s products include also fragrances and eyewear under the Salvatore Ferragamo brand and on license Ungaro brand. The Company’s products are distributed mainly through network brand stores, managed both directly and by third parties, as well as department stores and multibrand specialty stores. The Company’s activities also include the licensing of the Ferragamo brand, rental services, property management and technical consultancy with the Zegna Group. Salvatore Ferragamo SpA operates in Europe, North America, Japan, Asia-Pacific and Central and South America.</v>
    <v>3424</v>
    <v>Borsa Italiana</v>
    <v>XMIL</v>
    <v>XMIL</v>
    <v>Via Tornabuoni, 2, FIRENZE, FIRENZE, 50123 IT</v>
    <v>6.18</v>
    <v>Textiles &amp; Apparel</v>
    <v>Stock</v>
    <v>46086.412945185155</v>
    <v>6</v>
    <v>5.96</v>
    <v>1327533000</v>
    <v>Salvatore Ferragamo SpA</v>
    <v>Salvatore Ferragamo SpA</v>
    <v>6.03</v>
    <v>0</v>
    <v>6.08</v>
    <v>6.1349999999999998</v>
    <v>168790000</v>
    <v>SFER</v>
    <v>Salvatore Ferragamo SpA (XMIL:SFER)</v>
    <v>75221</v>
    <v>351420</v>
  </rv>
  <rv s="2">
    <v>7</v>
  </rv>
  <rv s="0">
    <v>https://www.bing.com/financeapi/forcetrigger?t=aje6a2&amp;q=XMIL%3aBC&amp;form=skydnc</v>
    <v>Learn more on Bing</v>
  </rv>
  <rv s="4">
    <v>8</v>
    <v>Brunello Cucinelli SpA (XMIL:BC)</v>
    <v>2</v>
    <v>3</v>
    <v>Finance</v>
    <v>4</v>
    <v>en-GB</v>
    <v>aje6a2</v>
    <v>268435456</v>
    <v>1</v>
    <v>Powered by Refinitiv</v>
    <v>124.5</v>
    <v>73.14</v>
    <v>1.0044999999999999</v>
    <v>-0.16</v>
    <v>-2.0990000000000002E-3</v>
    <v>EUR</v>
    <v>Brunello Cucinelli SpA is an Italy-based company engaged in the fashion industry. The Company designs, manufactures and sells clothing for woman and men, cashmere products and accessories collections. Its product portfolio includes knitwear, coats and jackets, leather clothing items, suits, dresses, shirts, blouses, trousers, accessories and other leather goods. The Company markets its products through direct retail channel; wholesale monobrand channel, consisting of franchised monobrand retail stores, and wholesale multibrand channel, which includes department and independent multibrand stores. The Company is active globally</v>
    <v>3327</v>
    <v>Borsa Italiana</v>
    <v>XMIL</v>
    <v>XMIL</v>
    <v>Viale Parco dell'Industria, 5, Solomeo, CORCIANO, PERUGIA, 06073 IT</v>
    <v>76.66</v>
    <v>Textiles &amp; Apparel</v>
    <v>Stock</v>
    <v>46086.41300925926</v>
    <v>9</v>
    <v>74.8</v>
    <v>6597360000</v>
    <v>Brunello Cucinelli SpA</v>
    <v>Brunello Cucinelli SpA</v>
    <v>75.099999999999994</v>
    <v>38.288400000000003</v>
    <v>76.22</v>
    <v>76.06</v>
    <v>68000000</v>
    <v>BC</v>
    <v>Brunello Cucinelli SpA (XMIL:BC)</v>
    <v>58235</v>
    <v>413810</v>
  </rv>
  <rv s="2">
    <v>10</v>
  </rv>
  <rv s="0">
    <v>https://www.bing.com/financeapi/forcetrigger?t=a1u3ur&amp;q=XNYS%3aGOOS&amp;form=skydnc</v>
    <v>Learn more on Bing</v>
  </rv>
  <rv s="3">
    <v>5</v>
    <v>CANADA GOOSE HOLDINGS INC. (XNYS:GOOS)</v>
    <v>2</v>
    <v>9</v>
    <v>Finance</v>
    <v>10</v>
    <v>en-GB</v>
    <v>a1u3ur</v>
    <v>268435456</v>
    <v>1</v>
    <v>Powered by Refinitiv</v>
    <v>15.425000000000001</v>
    <v>6.73</v>
    <v>1.7989999999999999</v>
    <v>0.08</v>
    <v>6.8259999999999996E-3</v>
    <v>USD</v>
    <v>Canada Goose Holdings Inc. is a Canada-based company that operates a performance luxury outerwear, apparel, footwear and accessories brand. The Company designs, manufactures, and sells performance luxury apparel for men, women, youth, children, and babies. The Company’s product offerings include various styles of down-filled outerwear, rain and everyday jackets, fleece, vests, apparel, footwear, and accessories for the fall, winter, and spring seasons. The products it manufactures and sells are marketed under the Company’s brands: Canada Goose, Snow Goose and Baffin. Its apparel products include men’s and women’s leisure wear, including knitwear, sweats, and t-shirts. Its other outerwear products include rain and everyday collections, jackets for everyday occasions, fleece, and vests. The Company’s footwear and accessories products encompass men’s, women’s, and children’s products, including sneakers, boots, hats, scarves, gloves, hood trims, socks, bags and eyewear.</v>
    <v>4462</v>
    <v>New York Stock Exchange</v>
    <v>XNYS</v>
    <v>XNYS</v>
    <v>250 Bowie Avenue, TORONTO, ON, M6E 4Y2 CA</v>
    <v>11.9</v>
    <v>Textiles &amp; Apparel</v>
    <v>Stock</v>
    <v>46085.957359524997</v>
    <v>12</v>
    <v>11.57</v>
    <v>1821049000</v>
    <v>CANADA GOOSE HOLDINGS INC.</v>
    <v>CANADA GOOSE HOLDINGS INC.</v>
    <v>11.78</v>
    <v>87.387799999999999</v>
    <v>11.72</v>
    <v>11.8</v>
    <v>97128450</v>
    <v>GOOS</v>
    <v>CANADA GOOSE HOLDINGS INC. (XNYS:GOOS)</v>
    <v>407011</v>
    <v>927908</v>
    <v>2013</v>
  </rv>
  <rv s="2">
    <v>13</v>
  </rv>
  <rv s="0">
    <v>https://www.bing.com/financeapi/forcetrigger?t=a222gh&amp;q=XNYS%3aRL&amp;form=skydnc</v>
    <v>Learn more on Bing</v>
  </rv>
  <rv s="3">
    <v>5</v>
    <v>RALPH LAUREN CORPORATION (XNYS:RL)</v>
    <v>2</v>
    <v>11</v>
    <v>Finance</v>
    <v>10</v>
    <v>en-GB</v>
    <v>a222gh</v>
    <v>268435456</v>
    <v>1</v>
    <v>Powered by Refinitiv</v>
    <v>389.15</v>
    <v>176.61</v>
    <v>1.4874000000000001</v>
    <v>-1.07</v>
    <v>-2.9649999999999998E-3</v>
    <v>USD</v>
    <v>Ralph Lauren Corporation is engaged in the design, marketing, and distribution of luxury lifestyle products, including apparel, footwear and accessories, home, fragrances and hospitality. Its segments include North America, Europe, and Asia. Its brands include Ralph Lauren, Ralph Lauren Collection, Ralph Lauren Purple Label, Polo Ralph Lauren, Lauren Ralph Lauren, Polo Ralph Lauren Children, and Chaps, among others. Its products include apparel and footwear and accessories for men, women, and children, as well as fragrance and home collections, together with its hospitality portfolio. Its range of footwear and accessories include casual shoes, dress shoes, boots, sneakers, sandals, eyewear, watches, scarves, hats and others. Its range of home products includes bed and bath lines, lighting, dining, floor coverings, giftware and more. Its hospitality collection is comprised of its restaurants, including The Polo Bar in New York City, RL Restaurant located in Chicago, and others.</v>
    <v>15000</v>
    <v>New York Stock Exchange</v>
    <v>XNYS</v>
    <v>XNYS</v>
    <v>650 Madison Ave, NEW YORK, NY, 10022 US</v>
    <v>368</v>
    <v>Textiles &amp; Apparel</v>
    <v>Stock</v>
    <v>46086.000000022657</v>
    <v>15</v>
    <v>356.94</v>
    <v>21781605682</v>
    <v>RALPH LAUREN CORPORATION</v>
    <v>RALPH LAUREN CORPORATION</v>
    <v>362.85</v>
    <v>24.492999999999999</v>
    <v>360.88</v>
    <v>359.81</v>
    <v>60536410</v>
    <v>RL</v>
    <v>RALPH LAUREN CORPORATION (XNYS:RL)</v>
    <v>447006</v>
    <v>745060</v>
    <v>1997</v>
  </rv>
  <rv s="2">
    <v>16</v>
  </rv>
  <rv s="0">
    <v>https://www.bing.com/financeapi/forcetrigger?t=ajfy27&amp;q=XMIL%3aMONC&amp;form=skydnc</v>
    <v>Learn more on Bing</v>
  </rv>
  <rv s="3">
    <v>5</v>
    <v>Moncler SpA (XMIL:MONC)</v>
    <v>2</v>
    <v>12</v>
    <v>Finance</v>
    <v>4</v>
    <v>en-GB</v>
    <v>ajfy27</v>
    <v>268435456</v>
    <v>1</v>
    <v>Powered by Refinitiv</v>
    <v>66.599999999999994</v>
    <v>45.46</v>
    <v>1.2025999999999999</v>
    <v>0.7</v>
    <v>1.2944000000000001E-2</v>
    <v>EUR</v>
    <v>Moncler SpA is an Italy-based company engaged in fashion industry. The Company designs, produces and distributes clothing and accessories through Moncler brand. Moncler SpA manufactures collections for women, men and children. The Company offers mainly sportswear, outerwear, knitwear and skiwear, including jackets, shoes, sweaters, trousers, bags, shirts, tops, gloves, hats and sunglasses, among others. Moncler SpA trades its products through approximately 122 stores, as well as through the wholesale distribution channel. Moncler SpA operates in approximately 66 countries, including Austria, France, Germany, Switzerland, Turkey, China, Hong Kong, Japan, Taiwan and the United States, among others.</v>
    <v>7917</v>
    <v>Borsa Italiana</v>
    <v>XMIL</v>
    <v>XMIL</v>
    <v>Via Stendhal, 47, MILANO, MILANO, 20144 IT</v>
    <v>54.96</v>
    <v>Textiles &amp; Apparel</v>
    <v>Stock</v>
    <v>46086.412997685184</v>
    <v>18</v>
    <v>53.02</v>
    <v>14630670000</v>
    <v>Moncler SpA</v>
    <v>Moncler SpA</v>
    <v>53.24</v>
    <v>24.226099999999999</v>
    <v>54.08</v>
    <v>54.78</v>
    <v>274805900</v>
    <v>MONC</v>
    <v>Moncler SpA (XMIL:MONC)</v>
    <v>205092</v>
    <v>1591720</v>
    <v>2004</v>
  </rv>
  <rv s="2">
    <v>19</v>
  </rv>
</rvData>
</file>

<file path=xl/richData/rdrichvaluestructure.xml><?xml version="1.0" encoding="utf-8"?>
<rvStructures xmlns="http://schemas.microsoft.com/office/spreadsheetml/2017/richdata" count="5">
  <s t="_hyperlink">
    <k n="Address" t="s"/>
    <k n="Text" t="s"/>
  </s>
  <s t="_linkedentitycore">
    <k n="_Display" t="spb"/>
    <k n="_DisplayString" t="s"/>
    <k n="_Flags" t="spb"/>
    <k n="_Format" t="spb"/>
    <k n="_Icon" t="s"/>
    <k n="_SubLabel" t="spb"/>
    <k n="%EntityCulture" t="s"/>
    <k n="%EntityId" t="s"/>
    <k n="%EntityServiceId"/>
    <k n="%IsRefreshable" t="b"/>
    <k n="%OutdatedReason" t="i"/>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s>
  <s t="_linkedentity">
    <k n="%cvi" t="r"/>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s>
</rvStructures>
</file>

<file path=xl/richData/rdsupportingpropertybag.xml><?xml version="1.0" encoding="utf-8"?>
<supportingPropertyBags xmlns="http://schemas.microsoft.com/office/spreadsheetml/2017/richdata2">
  <spbArrays count="3">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_Flags</v>
      <v t="s">UniqueName</v>
      <v t="s">_DisplayString</v>
      <v t="s">LearnMoreOnLink</v>
      <v t="s">ExchangeID</v>
      <v t="s">%ProviderInfo</v>
      <v t="s">%OutdatedReason</v>
    </a>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_Flags</v>
      <v t="s">UniqueName</v>
      <v t="s">_DisplayString</v>
      <v t="s">LearnMoreOnLink</v>
      <v t="s">ExchangeID</v>
      <v t="s">%ProviderInfo</v>
    </a>
  </spbArrays>
  <spbData count="13">
    <spb s="0">
      <v>0</v>
      <v>Name</v>
      <v>LearnMoreOnLink</v>
    </spb>
    <spb s="1">
      <v>0</v>
      <v>0</v>
      <v>0</v>
    </spb>
    <spb s="2">
      <v>1</v>
      <v>1</v>
      <v>1</v>
      <v>1</v>
    </spb>
    <spb s="3">
      <v>1</v>
      <v>2</v>
      <v>2</v>
      <v>1</v>
      <v>3</v>
      <v>1</v>
      <v>1</v>
      <v>1</v>
      <v>4</v>
      <v>4</v>
      <v>5</v>
      <v>6</v>
      <v>1</v>
      <v>1</v>
      <v>1</v>
      <v>4</v>
      <v>7</v>
      <v>8</v>
      <v>4</v>
    </spb>
    <spb s="4">
      <v>Delayed 15 minutes</v>
      <v>from previous close</v>
      <v>from previous close</v>
      <v>Borsa Italia</v>
      <v>GMT</v>
    </spb>
    <spb s="0">
      <v>1</v>
      <v>Name</v>
      <v>LearnMoreOnLink</v>
    </spb>
    <spb s="5">
      <v>9</v>
      <v>2</v>
      <v>2</v>
      <v>9</v>
      <v>3</v>
      <v>9</v>
      <v>9</v>
      <v>9</v>
      <v>4</v>
      <v>4</v>
      <v>5</v>
      <v>10</v>
      <v>9</v>
      <v>9</v>
      <v>9</v>
      <v>4</v>
      <v>7</v>
      <v>11</v>
      <v>8</v>
      <v>4</v>
    </spb>
    <spb s="4">
      <v>Delayed 15 minutes</v>
      <v>from previous close</v>
      <v>from previous close</v>
      <v>LSE</v>
      <v>GMT</v>
    </spb>
    <spb s="0">
      <v>2</v>
      <v>Name</v>
      <v>LearnMoreOnLink</v>
    </spb>
    <spb s="5">
      <v>12</v>
      <v>2</v>
      <v>2</v>
      <v>12</v>
      <v>3</v>
      <v>12</v>
      <v>12</v>
      <v>12</v>
      <v>4</v>
      <v>4</v>
      <v>5</v>
      <v>13</v>
      <v>12</v>
      <v>12</v>
      <v>12</v>
      <v>4</v>
      <v>7</v>
      <v>11</v>
      <v>8</v>
      <v>4</v>
    </spb>
    <spb s="4">
      <v>Delayed 15 minutes</v>
      <v>from previous close</v>
      <v>from previous close</v>
      <v>Source: Nasdaq</v>
      <v>GMT</v>
    </spb>
    <spb s="5">
      <v>12</v>
      <v>2</v>
      <v>2</v>
      <v>12</v>
      <v>3</v>
      <v>12</v>
      <v>12</v>
      <v>12</v>
      <v>4</v>
      <v>4</v>
      <v>5</v>
      <v>14</v>
      <v>12</v>
      <v>12</v>
      <v>12</v>
      <v>4</v>
      <v>7</v>
      <v>11</v>
      <v>8</v>
      <v>4</v>
    </spb>
    <spb s="5">
      <v>1</v>
      <v>2</v>
      <v>2</v>
      <v>1</v>
      <v>3</v>
      <v>1</v>
      <v>1</v>
      <v>1</v>
      <v>4</v>
      <v>4</v>
      <v>5</v>
      <v>6</v>
      <v>1</v>
      <v>1</v>
      <v>1</v>
      <v>4</v>
      <v>7</v>
      <v>11</v>
      <v>8</v>
      <v>4</v>
    </spb>
  </spbData>
</supportingPropertyBags>
</file>

<file path=xl/richData/rdsupportingpropertybagstructure.xml><?xml version="1.0" encoding="utf-8"?>
<spbStructures xmlns="http://schemas.microsoft.com/office/spreadsheetml/2017/richdata2" count="6">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EntityServiceId" t="i"/>
    <k n="Shares outstanding" t="i"/>
  </s>
  <s>
    <k n="Price" t="s"/>
    <k n="Change" t="s"/>
    <k n="Change (%)" t="s"/>
    <k n="ExchangeID" t="s"/>
    <k n="Last trade time" t="s"/>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0" formatCode="General"/>
    </x:dxf>
    <x:dxf>
      <x:numFmt numFmtId="4" formatCode="#,##0.00"/>
    </x:dxf>
    <x:dxf>
      <x:numFmt numFmtId="3" formatCode="#,##0"/>
    </x:dxf>
    <x:dxf>
      <x:numFmt numFmtId="14" formatCode="0.00%"/>
    </x:dxf>
    <x:dxf>
      <x:numFmt numFmtId="2" formatCode="0.00"/>
    </x:dxf>
    <x:dxf>
      <x:numFmt numFmtId="1" formatCode="0"/>
    </x:dxf>
    <x:dxf>
      <x:numFmt numFmtId="27" formatCode="m/d/yy\ h:mm"/>
    </x:dxf>
    <x:dxf>
      <x:numFmt numFmtId="35" formatCode="_(* #,##0.00_);_(* \(#,##0.00\);_(* &quot;-&quot;??_);_(@_)"/>
    </x:dxf>
  </dxfs>
  <richProperties>
    <rPr n="NumberFormat" t="s"/>
    <rPr n="IsTitleField" t="b"/>
  </richProperties>
  <richStyles>
    <rSty dxfid="0">
      <rpv i="0">_([$€-x-euro2] * #,##0.00_);_([$€-x-euro2] * (#,##0.00);_([$€-x-euro2] * "-"??_);_(@_)</rpv>
    </rSty>
    <rSty dxfid="1">
      <rpv i="0">#,##0.00</rpv>
    </rSty>
    <rSty>
      <rpv i="1">1</rpv>
    </rSty>
    <rSty dxfid="2">
      <rpv i="0">#,##0</rpv>
    </rSty>
    <rSty dxfid="3"/>
    <rSty dxfid="0">
      <rpv i="0">_([$€-x-euro2] * #,##0_);_([$€-x-euro2] * (#,##0);_([$€-x-euro2] * "-"_);_(@_)</rpv>
    </rSty>
    <rSty dxfid="6"/>
    <rSty dxfid="4">
      <rpv i="0">0.00</rpv>
    </rSty>
    <rSty dxfid="7">
      <rpv i="0">_(* #,##0.00_);_(* (#,##0.00);_(* "-"??_);_(@_)</rpv>
    </rSty>
    <rSty dxfid="0">
      <rpv i="0">_([$£-en-GB]* #,##0_);_([$£-en-GB]* (#,##0);_([$£-en-GB]* "-"_);_(@_)</rpv>
    </rSty>
    <rSty dxfid="5">
      <rpv i="0">0</rpv>
    </rSty>
    <rSty dxfid="0">
      <rpv i="0">_([$$-en-US]* #,##0.00_);_([$$-en-US]* (#,##0.00);_([$$-en-US]* "-"??_);_(@_)</rpv>
    </rSty>
    <rSty dxfid="0">
      <rpv i="0">_([$$-en-CA]* #,##0_);_([$$-en-CA]* (#,##0);_([$$-en-CA]* "-"_);_(@_)</rpv>
    </rSty>
    <rSty dxfid="0">
      <rpv i="0">_([$$-en-US]* #,##0_);_([$$-en-US]* (#,##0);_([$$-en-US]* "-"_);_(@_)</rpv>
    </rSty>
  </richStyles>
</richStyleSheet>
</file>

<file path=xl/theme/theme1.xml><?xml version="1.0" encoding="utf-8"?>
<a:theme xmlns:a="http://schemas.openxmlformats.org/drawingml/2006/main" name="Office Theme">
  <a:themeElements>
    <a:clrScheme name="Deloitte New">
      <a:dk1>
        <a:srgbClr val="000000"/>
      </a:dk1>
      <a:lt1>
        <a:sysClr val="window" lastClr="FFFFFF"/>
      </a:lt1>
      <a:dk2>
        <a:srgbClr val="002776"/>
      </a:dk2>
      <a:lt2>
        <a:srgbClr val="FFFFFF"/>
      </a:lt2>
      <a:accent1>
        <a:srgbClr val="002776"/>
      </a:accent1>
      <a:accent2>
        <a:srgbClr val="92D400"/>
      </a:accent2>
      <a:accent3>
        <a:srgbClr val="00A1DE"/>
      </a:accent3>
      <a:accent4>
        <a:srgbClr val="3C8A2E"/>
      </a:accent4>
      <a:accent5>
        <a:srgbClr val="72C7E7"/>
      </a:accent5>
      <a:accent6>
        <a:srgbClr val="C9DD03"/>
      </a:accent6>
      <a:hlink>
        <a:srgbClr val="7F7F7F"/>
      </a:hlink>
      <a:folHlink>
        <a:srgbClr val="1462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Deloitte New">
    <a:dk1>
      <a:srgbClr val="000000"/>
    </a:dk1>
    <a:lt1>
      <a:sysClr val="window" lastClr="FFFFFF"/>
    </a:lt1>
    <a:dk2>
      <a:srgbClr val="002776"/>
    </a:dk2>
    <a:lt2>
      <a:srgbClr val="FFFFFF"/>
    </a:lt2>
    <a:accent1>
      <a:srgbClr val="002776"/>
    </a:accent1>
    <a:accent2>
      <a:srgbClr val="92D400"/>
    </a:accent2>
    <a:accent3>
      <a:srgbClr val="00A1DE"/>
    </a:accent3>
    <a:accent4>
      <a:srgbClr val="3C8A2E"/>
    </a:accent4>
    <a:accent5>
      <a:srgbClr val="72C7E7"/>
    </a:accent5>
    <a:accent6>
      <a:srgbClr val="C9DD03"/>
    </a:accent6>
    <a:hlink>
      <a:srgbClr val="7F7F7F"/>
    </a:hlink>
    <a:folHlink>
      <a:srgbClr val="1462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9B00"/>
  </sheetPr>
  <dimension ref="A1:P32"/>
  <sheetViews>
    <sheetView showGridLines="0" zoomScale="108" zoomScaleNormal="100" workbookViewId="0">
      <selection activeCell="J32" sqref="J32"/>
    </sheetView>
  </sheetViews>
  <sheetFormatPr baseColWidth="10" defaultColWidth="0" defaultRowHeight="11.25" customHeight="1" zeroHeight="1"/>
  <cols>
    <col min="1" max="14" width="9.25" customWidth="1"/>
    <col min="15" max="16" width="9.25" hidden="1" customWidth="1"/>
    <col min="17" max="16384" width="9.25" hidden="1"/>
  </cols>
  <sheetData>
    <row r="1" spans="1:16" ht="11">
      <c r="A1" s="523"/>
      <c r="B1" s="523"/>
      <c r="C1" s="523"/>
      <c r="D1" s="523"/>
      <c r="E1" s="523"/>
      <c r="F1" s="523"/>
      <c r="G1" s="523"/>
      <c r="H1" s="523"/>
      <c r="I1" s="523"/>
      <c r="J1" s="523"/>
      <c r="K1" s="523"/>
      <c r="L1" s="523"/>
      <c r="M1" s="523"/>
      <c r="N1" s="523"/>
      <c r="O1" s="48"/>
      <c r="P1" s="48"/>
    </row>
    <row r="2" spans="1:16" ht="11">
      <c r="A2" s="523"/>
      <c r="B2" s="523"/>
      <c r="C2" s="523"/>
      <c r="D2" s="523"/>
      <c r="E2" s="523"/>
      <c r="F2" s="523"/>
      <c r="G2" s="523"/>
      <c r="H2" s="523"/>
      <c r="I2" s="523"/>
      <c r="J2" s="523"/>
      <c r="K2" s="523"/>
      <c r="L2" s="523"/>
      <c r="M2" s="523"/>
      <c r="N2" s="523"/>
      <c r="O2" s="48"/>
      <c r="P2" s="48"/>
    </row>
    <row r="3" spans="1:16" ht="11">
      <c r="A3" s="523"/>
      <c r="B3" s="523"/>
      <c r="C3" s="523"/>
      <c r="D3" s="523"/>
      <c r="E3" s="523"/>
      <c r="F3" s="523"/>
      <c r="G3" s="523"/>
      <c r="H3" s="523"/>
      <c r="I3" s="523"/>
      <c r="J3" s="523"/>
      <c r="K3" s="523"/>
      <c r="L3" s="523"/>
      <c r="M3" s="523"/>
      <c r="N3" s="523"/>
      <c r="O3" s="48"/>
      <c r="P3" s="48"/>
    </row>
    <row r="4" spans="1:16" ht="11">
      <c r="A4" s="523"/>
      <c r="B4" s="523"/>
      <c r="C4" s="523"/>
      <c r="D4" s="523"/>
      <c r="E4" s="523"/>
      <c r="F4" s="523"/>
      <c r="G4" s="523"/>
      <c r="H4" s="523"/>
      <c r="I4" s="523"/>
      <c r="J4" s="523"/>
      <c r="K4" s="523"/>
      <c r="L4" s="523"/>
      <c r="M4" s="523"/>
      <c r="N4" s="523"/>
      <c r="O4" s="48"/>
      <c r="P4" s="48"/>
    </row>
    <row r="5" spans="1:16" ht="11">
      <c r="A5" s="523"/>
      <c r="B5" s="523"/>
      <c r="C5" s="523"/>
      <c r="D5" s="523"/>
      <c r="E5" s="523"/>
      <c r="F5" s="523"/>
      <c r="G5" s="523"/>
      <c r="H5" s="523"/>
      <c r="I5" s="523"/>
      <c r="J5" s="523"/>
      <c r="K5" s="523"/>
      <c r="L5" s="523"/>
      <c r="M5" s="523"/>
      <c r="N5" s="523"/>
      <c r="O5" s="48"/>
      <c r="P5" s="48"/>
    </row>
    <row r="6" spans="1:16" ht="11"/>
    <row r="7" spans="1:16" ht="11"/>
    <row r="8" spans="1:16" ht="11">
      <c r="I8" s="200"/>
    </row>
    <row r="9" spans="1:16" ht="11"/>
    <row r="10" spans="1:16" ht="11"/>
    <row r="11" spans="1:16" ht="11"/>
    <row r="12" spans="1:16" ht="11"/>
    <row r="13" spans="1:16" ht="11"/>
    <row r="14" spans="1:16" ht="11"/>
    <row r="15" spans="1:16" ht="28">
      <c r="C15" s="477" t="s">
        <v>0</v>
      </c>
      <c r="D15" s="258"/>
      <c r="E15" s="258"/>
      <c r="F15" s="258"/>
    </row>
    <row r="16" spans="1:16" ht="28">
      <c r="C16" s="51" t="s">
        <v>1</v>
      </c>
    </row>
    <row r="17" spans="3:3" ht="11"/>
    <row r="18" spans="3:3" ht="11"/>
    <row r="19" spans="3:3" ht="11"/>
    <row r="20" spans="3:3" ht="11"/>
    <row r="21" spans="3:3" ht="11"/>
    <row r="22" spans="3:3" ht="11">
      <c r="C22" s="197"/>
    </row>
    <row r="23" spans="3:3" ht="11">
      <c r="C23" s="198"/>
    </row>
    <row r="24" spans="3:3" ht="5" customHeight="1"/>
    <row r="25" spans="3:3" ht="11"/>
    <row r="26" spans="3:3" ht="11"/>
    <row r="27" spans="3:3" ht="11"/>
    <row r="28" spans="3:3" ht="11"/>
    <row r="29" spans="3:3" ht="11"/>
    <row r="30" spans="3:3" ht="11">
      <c r="C30" s="199"/>
    </row>
    <row r="31" spans="3:3" ht="11"/>
    <row r="32" spans="3:3" ht="11.25" customHeight="1"/>
  </sheetData>
  <pageMargins left="0.7" right="0.7" top="0.75" bottom="0.75" header="0.3" footer="0.3"/>
  <pageSetup paperSize="9" orientation="portrait" horizontalDpi="360" verticalDpi="36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V97"/>
  <sheetViews>
    <sheetView showGridLines="0" zoomScale="125" zoomScaleNormal="100" workbookViewId="0">
      <pane ySplit="6" topLeftCell="A7" activePane="bottomLeft" state="frozen"/>
      <selection activeCell="N59" sqref="N59"/>
      <selection pane="bottomLeft" activeCell="I89" sqref="I89"/>
    </sheetView>
  </sheetViews>
  <sheetFormatPr baseColWidth="10" defaultColWidth="10.75" defaultRowHeight="13" customHeight="1"/>
  <cols>
    <col min="1" max="1" width="16.75" style="6" customWidth="1"/>
    <col min="2" max="2" width="36.75" style="8" customWidth="1"/>
    <col min="3" max="5" width="10.75" style="6"/>
    <col min="6" max="6" width="13.5" style="6" bestFit="1" customWidth="1"/>
    <col min="7" max="11" width="10.75" style="6"/>
    <col min="12" max="12" width="13.5" style="6" bestFit="1" customWidth="1"/>
    <col min="13" max="15" width="10.75" style="6"/>
    <col min="16" max="16" width="1.25" customWidth="1"/>
    <col min="17" max="16384" width="10.75" style="6"/>
  </cols>
  <sheetData>
    <row r="1" spans="1:22" ht="13" customHeight="1">
      <c r="A1" s="120"/>
      <c r="B1" s="7"/>
    </row>
    <row r="2" spans="1:22" ht="20" customHeight="1">
      <c r="A2" s="495"/>
      <c r="B2" s="496" t="s">
        <v>251</v>
      </c>
      <c r="C2" s="495"/>
      <c r="D2" s="495"/>
      <c r="E2" s="495"/>
      <c r="F2" s="495"/>
      <c r="G2" s="495"/>
      <c r="H2" s="495"/>
      <c r="I2" s="495"/>
      <c r="J2" s="495"/>
      <c r="K2" s="495"/>
      <c r="L2" s="495"/>
      <c r="M2" s="495"/>
      <c r="N2" s="495"/>
      <c r="O2" s="495"/>
    </row>
    <row r="3" spans="1:22" ht="13" customHeight="1">
      <c r="F3" s="23" t="s">
        <v>6</v>
      </c>
      <c r="G3" s="22"/>
      <c r="H3" s="22"/>
      <c r="I3" s="22"/>
      <c r="J3" s="23" t="s">
        <v>7</v>
      </c>
      <c r="K3" s="21"/>
      <c r="L3" s="21"/>
      <c r="M3" s="21"/>
      <c r="N3" s="21"/>
      <c r="O3" s="21" t="s">
        <v>252</v>
      </c>
    </row>
    <row r="4" spans="1:22" ht="5" customHeight="1">
      <c r="F4" s="25"/>
      <c r="J4" s="25"/>
      <c r="O4" s="25"/>
    </row>
    <row r="5" spans="1:22" ht="15" customHeight="1">
      <c r="B5" s="490" t="str">
        <f>AsReported!B5</f>
        <v>(EUR m)</v>
      </c>
      <c r="C5" s="484"/>
      <c r="D5" s="484"/>
      <c r="E5" s="484"/>
      <c r="F5" s="130">
        <f>AsReported!F5</f>
        <v>43830</v>
      </c>
      <c r="G5" s="131">
        <f>AsReported!G5</f>
        <v>44196</v>
      </c>
      <c r="H5" s="131">
        <f>AsReported!H5</f>
        <v>44561</v>
      </c>
      <c r="I5" s="131">
        <f>AsReported!I5</f>
        <v>44926</v>
      </c>
      <c r="J5" s="485">
        <f>AsReported!J5</f>
        <v>45291</v>
      </c>
      <c r="K5" s="486">
        <f>AsReported!K5</f>
        <v>45657</v>
      </c>
      <c r="L5" s="486">
        <f>AsReported!L5</f>
        <v>46022</v>
      </c>
      <c r="M5" s="486">
        <f>AsReported!M5</f>
        <v>46387</v>
      </c>
      <c r="N5" s="486">
        <f>AsReported!N5</f>
        <v>46752</v>
      </c>
      <c r="O5" s="130">
        <f>+EOMONTH(N5,12)</f>
        <v>47118</v>
      </c>
      <c r="Q5" s="482" t="s">
        <v>10</v>
      </c>
      <c r="R5" s="482"/>
      <c r="S5" s="482"/>
      <c r="T5" s="482"/>
      <c r="U5" s="482"/>
      <c r="V5" s="482"/>
    </row>
    <row r="6" spans="1:22" ht="5" customHeight="1"/>
    <row r="7" spans="1:22" ht="5" customHeight="1"/>
    <row r="8" spans="1:22" ht="15" customHeight="1">
      <c r="B8" s="487" t="s">
        <v>245</v>
      </c>
      <c r="C8" s="504"/>
      <c r="D8" s="504"/>
      <c r="E8" s="504"/>
      <c r="F8" s="504"/>
      <c r="G8" s="504"/>
      <c r="H8" s="504"/>
      <c r="I8" s="504"/>
      <c r="J8" s="504"/>
      <c r="K8" s="504"/>
      <c r="L8" s="504"/>
      <c r="M8" s="504"/>
      <c r="N8" s="504"/>
      <c r="O8" s="504"/>
    </row>
    <row r="9" spans="1:22" ht="5" customHeight="1"/>
    <row r="10" spans="1:22" ht="13" customHeight="1">
      <c r="B10" s="44" t="s">
        <v>253</v>
      </c>
      <c r="C10" s="138"/>
      <c r="D10" s="138"/>
      <c r="E10" s="138"/>
      <c r="F10" s="463">
        <v>2.1999999999999999E-2</v>
      </c>
      <c r="K10" s="161"/>
      <c r="L10" s="32"/>
      <c r="M10" s="32"/>
      <c r="N10" s="32"/>
      <c r="O10" s="19"/>
      <c r="Q10" s="87"/>
    </row>
    <row r="11" spans="1:22" ht="13" customHeight="1">
      <c r="B11" s="43" t="s">
        <v>234</v>
      </c>
      <c r="F11" s="139">
        <f>WACC!D47</f>
        <v>7.7483278329688945E-2</v>
      </c>
      <c r="K11" s="161"/>
      <c r="L11" s="32"/>
      <c r="M11" s="32"/>
      <c r="N11" s="32"/>
      <c r="O11" s="19"/>
    </row>
    <row r="12" spans="1:22" ht="13" customHeight="1">
      <c r="B12" s="43" t="s">
        <v>254</v>
      </c>
      <c r="F12" s="139">
        <f>'Terminal WACC'!D47</f>
        <v>6.4515594111135402E-2</v>
      </c>
      <c r="K12" s="161"/>
      <c r="L12" s="32"/>
      <c r="M12" s="32"/>
      <c r="N12" s="32"/>
      <c r="O12" s="19"/>
    </row>
    <row r="13" spans="1:22" ht="13" customHeight="1">
      <c r="B13" s="43" t="s">
        <v>255</v>
      </c>
      <c r="F13" s="139">
        <f>+WACC!D34</f>
        <v>7.872416929615042E-2</v>
      </c>
      <c r="K13" s="161"/>
      <c r="L13" s="32"/>
      <c r="M13" s="32"/>
      <c r="N13" s="32"/>
      <c r="O13" s="19"/>
    </row>
    <row r="14" spans="1:22" ht="13" customHeight="1">
      <c r="B14" s="43" t="s">
        <v>256</v>
      </c>
      <c r="F14" s="139">
        <f>WACC!D32</f>
        <v>8.3901606162657849E-2</v>
      </c>
      <c r="K14" s="161"/>
      <c r="L14" s="32"/>
      <c r="M14" s="32"/>
      <c r="N14" s="32"/>
      <c r="O14" s="19"/>
    </row>
    <row r="15" spans="1:22" ht="13" customHeight="1">
      <c r="B15" s="43" t="s">
        <v>257</v>
      </c>
      <c r="F15" s="139">
        <f>WACC!D41</f>
        <v>1.7500000000000002E-2</v>
      </c>
      <c r="K15" s="161"/>
      <c r="L15" s="32"/>
      <c r="M15" s="32"/>
      <c r="N15" s="32"/>
      <c r="O15" s="19"/>
    </row>
    <row r="16" spans="1:22" ht="13" customHeight="1">
      <c r="B16" s="43" t="s">
        <v>258</v>
      </c>
      <c r="F16" s="139">
        <f>+WACC!D29</f>
        <v>0.24</v>
      </c>
      <c r="H16" s="32"/>
      <c r="K16" s="32"/>
      <c r="L16" s="32"/>
      <c r="M16" s="32"/>
      <c r="N16" s="32"/>
      <c r="O16" s="19"/>
    </row>
    <row r="17" spans="2:15" ht="13" customHeight="1">
      <c r="B17" s="46" t="s">
        <v>259</v>
      </c>
      <c r="C17" s="136"/>
      <c r="D17" s="136"/>
      <c r="E17" s="136"/>
      <c r="F17" s="140">
        <v>44926</v>
      </c>
      <c r="H17" s="32"/>
      <c r="K17" s="32"/>
      <c r="L17" s="32"/>
      <c r="M17" s="32"/>
      <c r="N17" s="32"/>
      <c r="O17" s="19"/>
    </row>
    <row r="18" spans="2:15" ht="13" customHeight="1">
      <c r="B18" s="13"/>
      <c r="C18" s="56"/>
      <c r="D18" s="56"/>
      <c r="E18" s="56"/>
      <c r="F18" s="57"/>
      <c r="G18" s="57"/>
      <c r="H18" s="57"/>
      <c r="I18" s="57"/>
      <c r="J18" s="57"/>
      <c r="K18" s="57"/>
      <c r="L18" s="57"/>
      <c r="M18" s="57"/>
      <c r="N18" s="57"/>
      <c r="O18" s="57"/>
    </row>
    <row r="19" spans="2:15" ht="13" customHeight="1">
      <c r="B19" s="20" t="s">
        <v>260</v>
      </c>
      <c r="C19" s="204"/>
      <c r="D19" s="204"/>
      <c r="E19" s="204"/>
      <c r="F19" s="205"/>
      <c r="G19" s="205"/>
      <c r="H19" s="206"/>
      <c r="I19" s="206">
        <f t="shared" ref="I19:N19" si="0">+YEAR(I$5)-YEAR($I$5)</f>
        <v>0</v>
      </c>
      <c r="J19" s="206">
        <f t="shared" si="0"/>
        <v>1</v>
      </c>
      <c r="K19" s="206">
        <f t="shared" si="0"/>
        <v>2</v>
      </c>
      <c r="L19" s="206">
        <f t="shared" si="0"/>
        <v>3</v>
      </c>
      <c r="M19" s="206">
        <f t="shared" si="0"/>
        <v>4</v>
      </c>
      <c r="N19" s="206">
        <f t="shared" si="0"/>
        <v>5</v>
      </c>
      <c r="O19" s="127"/>
    </row>
    <row r="20" spans="2:15" ht="13" customHeight="1">
      <c r="C20" s="17"/>
      <c r="D20" s="17"/>
      <c r="E20" s="17"/>
      <c r="F20" s="32"/>
      <c r="G20" s="32"/>
      <c r="H20" s="67"/>
      <c r="I20" s="67"/>
      <c r="J20" s="67"/>
      <c r="K20" s="67"/>
      <c r="L20" s="67"/>
      <c r="M20" s="67"/>
      <c r="N20" s="67"/>
      <c r="O20" s="19"/>
    </row>
    <row r="21" spans="2:15" ht="15" customHeight="1">
      <c r="B21" s="487" t="s">
        <v>261</v>
      </c>
      <c r="C21" s="504"/>
      <c r="D21" s="504"/>
      <c r="E21" s="504"/>
      <c r="F21" s="486">
        <f>+F$5</f>
        <v>43830</v>
      </c>
      <c r="G21" s="486">
        <f t="shared" ref="G21:O21" si="1">+G$5</f>
        <v>44196</v>
      </c>
      <c r="H21" s="486">
        <f t="shared" si="1"/>
        <v>44561</v>
      </c>
      <c r="I21" s="486">
        <f t="shared" si="1"/>
        <v>44926</v>
      </c>
      <c r="J21" s="486">
        <f t="shared" si="1"/>
        <v>45291</v>
      </c>
      <c r="K21" s="486">
        <f t="shared" si="1"/>
        <v>45657</v>
      </c>
      <c r="L21" s="486">
        <f t="shared" si="1"/>
        <v>46022</v>
      </c>
      <c r="M21" s="486">
        <f t="shared" si="1"/>
        <v>46387</v>
      </c>
      <c r="N21" s="486">
        <f t="shared" si="1"/>
        <v>46752</v>
      </c>
      <c r="O21" s="486">
        <f t="shared" si="1"/>
        <v>47118</v>
      </c>
    </row>
    <row r="23" spans="2:15" ht="13" customHeight="1">
      <c r="B23" s="8" t="s">
        <v>163</v>
      </c>
      <c r="C23" s="17"/>
      <c r="D23" s="17"/>
      <c r="E23" s="17"/>
      <c r="F23" s="32"/>
      <c r="G23" s="32"/>
      <c r="H23" s="32"/>
      <c r="I23" s="32"/>
      <c r="J23" s="32">
        <f>Restatements!J161</f>
        <v>621.36104594545122</v>
      </c>
      <c r="K23" s="32">
        <f>Restatements!K161</f>
        <v>706.94548763132912</v>
      </c>
      <c r="L23" s="32">
        <f>Restatements!L161</f>
        <v>792.18616469082701</v>
      </c>
      <c r="M23" s="32">
        <f>Restatements!M161</f>
        <v>-20.077884196970444</v>
      </c>
      <c r="N23" s="32">
        <f>Restatements!N161</f>
        <v>883.53414950033471</v>
      </c>
      <c r="O23" s="32">
        <f>TV!E16</f>
        <v>854.41007172911475</v>
      </c>
    </row>
    <row r="24" spans="2:15" ht="13" customHeight="1">
      <c r="B24" s="8" t="s">
        <v>262</v>
      </c>
      <c r="C24" s="17"/>
      <c r="D24" s="17"/>
      <c r="E24" s="17"/>
      <c r="F24" s="32"/>
      <c r="G24" s="32"/>
      <c r="H24" s="32"/>
      <c r="I24" s="32"/>
      <c r="J24" s="236">
        <f>1/((1+$F$11)^J19)</f>
        <v>0.92808864890246523</v>
      </c>
      <c r="K24" s="236">
        <f>1/((1+$F$11)^K19)</f>
        <v>0.86134854022160334</v>
      </c>
      <c r="L24" s="236">
        <f>1/((1+$F$11)^L19)</f>
        <v>0.79940780292837854</v>
      </c>
      <c r="M24" s="236">
        <f>1/((1+$F$11)^M19)</f>
        <v>0.74192130774188692</v>
      </c>
      <c r="N24" s="236">
        <f>1/((1+$F$11)^N19)</f>
        <v>0.68856874409411795</v>
      </c>
      <c r="O24" s="40"/>
    </row>
    <row r="25" spans="2:15" ht="13" customHeight="1">
      <c r="B25" s="8" t="s">
        <v>263</v>
      </c>
      <c r="C25" s="17"/>
      <c r="D25" s="17"/>
      <c r="E25" s="17"/>
      <c r="F25" s="32"/>
      <c r="G25" s="32"/>
      <c r="H25" s="32"/>
      <c r="I25" s="32"/>
      <c r="J25" s="32">
        <f>+J24*J23</f>
        <v>576.67813361213643</v>
      </c>
      <c r="K25" s="32">
        <f>+K24*K23</f>
        <v>608.92646378749487</v>
      </c>
      <c r="L25" s="32">
        <f>+L24*L23</f>
        <v>633.27980142575268</v>
      </c>
      <c r="M25" s="32">
        <f>+M24*M23</f>
        <v>-14.896210100106478</v>
      </c>
      <c r="N25" s="32">
        <f>+N24*N23</f>
        <v>608.37399968571015</v>
      </c>
      <c r="O25" s="19"/>
    </row>
    <row r="26" spans="2:15" ht="13" customHeight="1">
      <c r="B26" s="8" t="s">
        <v>264</v>
      </c>
      <c r="C26" s="17"/>
      <c r="D26" s="17"/>
      <c r="E26" s="17"/>
      <c r="F26" s="32"/>
      <c r="G26" s="32"/>
      <c r="H26" s="32"/>
      <c r="I26" s="32"/>
      <c r="J26" s="40"/>
      <c r="K26" s="40"/>
      <c r="L26" s="40"/>
      <c r="M26" s="40"/>
      <c r="N26" s="236">
        <f>1/((1+$F$12)^N19)</f>
        <v>0.73154300331385513</v>
      </c>
      <c r="O26" s="40"/>
    </row>
    <row r="27" spans="2:15" ht="13" customHeight="1">
      <c r="B27" s="8" t="s">
        <v>265</v>
      </c>
      <c r="C27" s="17"/>
      <c r="D27" s="17"/>
      <c r="E27" s="17"/>
      <c r="F27" s="32"/>
      <c r="G27" s="32"/>
      <c r="H27" s="32"/>
      <c r="K27" s="68"/>
      <c r="L27" s="32"/>
      <c r="M27" s="32"/>
      <c r="N27" s="32">
        <f>+O23/(F11-F10)</f>
        <v>15399.415778067359</v>
      </c>
    </row>
    <row r="28" spans="2:15" ht="13" customHeight="1">
      <c r="B28" s="12" t="s">
        <v>266</v>
      </c>
      <c r="C28" s="141"/>
      <c r="D28" s="141"/>
      <c r="E28" s="141"/>
      <c r="F28" s="141"/>
      <c r="G28" s="141"/>
      <c r="H28" s="141"/>
      <c r="I28" s="33">
        <f>+SUM(J25:N25)</f>
        <v>2412.3621884109875</v>
      </c>
      <c r="J28" s="138"/>
      <c r="K28" s="138"/>
      <c r="L28" s="138"/>
      <c r="M28" s="138"/>
      <c r="N28" s="138"/>
      <c r="O28" s="138"/>
    </row>
    <row r="29" spans="2:15" ht="13" customHeight="1">
      <c r="B29" s="11" t="s">
        <v>267</v>
      </c>
      <c r="C29" s="42"/>
      <c r="D29" s="42"/>
      <c r="E29" s="42"/>
      <c r="F29" s="34"/>
      <c r="G29" s="34"/>
      <c r="H29" s="34"/>
      <c r="I29" s="34">
        <f>+N27*N26</f>
        <v>11265.334867566164</v>
      </c>
      <c r="J29" s="32"/>
      <c r="K29" s="32"/>
      <c r="L29" s="32"/>
      <c r="M29" s="32"/>
      <c r="N29" s="55"/>
      <c r="O29" s="32"/>
    </row>
    <row r="30" spans="2:15" ht="13" customHeight="1">
      <c r="B30" s="11"/>
      <c r="C30" s="42"/>
      <c r="D30" s="42"/>
      <c r="E30" s="42"/>
      <c r="F30" s="34"/>
      <c r="G30" s="34"/>
      <c r="H30" s="34"/>
      <c r="I30" s="34"/>
      <c r="J30" s="32"/>
      <c r="K30" s="32"/>
      <c r="L30" s="32"/>
      <c r="M30" s="32"/>
      <c r="N30" s="55"/>
      <c r="O30" s="32"/>
    </row>
    <row r="31" spans="2:15" ht="13" customHeight="1">
      <c r="B31" s="487" t="s">
        <v>268</v>
      </c>
      <c r="C31" s="487"/>
      <c r="D31" s="487"/>
      <c r="E31" s="487"/>
      <c r="F31" s="487"/>
      <c r="G31" s="487"/>
      <c r="H31" s="487"/>
      <c r="I31" s="487"/>
      <c r="J31" s="32"/>
      <c r="K31" s="32"/>
      <c r="L31" s="32"/>
      <c r="M31" s="32"/>
      <c r="N31" s="55"/>
      <c r="O31" s="32"/>
    </row>
    <row r="32" spans="2:15" ht="5" customHeight="1">
      <c r="F32" s="32"/>
      <c r="G32" s="32"/>
      <c r="H32" s="32"/>
      <c r="I32" s="32"/>
      <c r="J32" s="32"/>
      <c r="K32" s="32"/>
      <c r="L32" s="32"/>
      <c r="M32" s="32"/>
      <c r="N32" s="32"/>
      <c r="O32" s="32"/>
    </row>
    <row r="33" spans="2:16" ht="13" customHeight="1">
      <c r="B33" s="186" t="s">
        <v>269</v>
      </c>
      <c r="C33" s="299"/>
      <c r="D33" s="299"/>
      <c r="E33" s="299"/>
      <c r="F33" s="299"/>
      <c r="G33" s="299"/>
      <c r="H33" s="299"/>
      <c r="I33" s="299">
        <f>+I29+I28</f>
        <v>13677.697055977151</v>
      </c>
      <c r="J33" s="32"/>
      <c r="K33" s="32"/>
      <c r="P33" s="128"/>
    </row>
    <row r="34" spans="2:16" ht="13" customHeight="1">
      <c r="B34" s="8" t="s">
        <v>270</v>
      </c>
      <c r="C34" s="32"/>
      <c r="D34" s="32"/>
      <c r="E34" s="32"/>
      <c r="F34" s="32"/>
      <c r="G34" s="32"/>
      <c r="H34" s="32"/>
      <c r="I34" s="32">
        <f>-WACC!H14</f>
        <v>-30.529999999999973</v>
      </c>
      <c r="J34" s="32"/>
      <c r="K34" s="32"/>
    </row>
    <row r="35" spans="2:16" ht="13" customHeight="1">
      <c r="B35" s="8" t="s">
        <v>271</v>
      </c>
      <c r="C35" s="32"/>
      <c r="D35" s="32"/>
      <c r="E35" s="32"/>
      <c r="F35" s="32"/>
      <c r="G35" s="32"/>
      <c r="H35" s="32"/>
      <c r="I35" s="32">
        <f>+Restatements!I82</f>
        <v>19.824998000000001</v>
      </c>
      <c r="J35" s="32"/>
      <c r="K35" s="32"/>
    </row>
    <row r="36" spans="2:16" ht="13" customHeight="1">
      <c r="B36" s="8" t="s">
        <v>272</v>
      </c>
      <c r="C36" s="32"/>
      <c r="D36" s="32"/>
      <c r="E36" s="32"/>
      <c r="F36" s="32"/>
      <c r="G36" s="32"/>
      <c r="H36" s="32"/>
      <c r="I36" s="32">
        <f>+Restatements!I96</f>
        <v>0.11600000000000001</v>
      </c>
      <c r="J36" s="32"/>
      <c r="K36" s="32"/>
    </row>
    <row r="37" spans="2:16" ht="13" customHeight="1">
      <c r="B37" s="186" t="s">
        <v>273</v>
      </c>
      <c r="C37" s="299"/>
      <c r="D37" s="299"/>
      <c r="E37" s="299"/>
      <c r="F37" s="299"/>
      <c r="G37" s="299"/>
      <c r="H37" s="299"/>
      <c r="I37" s="299">
        <f>SUM(I33:I36)</f>
        <v>13667.10805397715</v>
      </c>
      <c r="J37" s="32"/>
      <c r="K37" s="32"/>
    </row>
    <row r="38" spans="2:16" ht="13" customHeight="1">
      <c r="B38" s="8" t="s">
        <v>274</v>
      </c>
      <c r="C38" s="65"/>
      <c r="D38" s="65"/>
      <c r="E38" s="65"/>
      <c r="F38" s="65"/>
      <c r="G38" s="65"/>
      <c r="H38" s="65"/>
      <c r="I38" s="65">
        <f>AsReported!$I$84</f>
        <v>268.82</v>
      </c>
      <c r="J38" s="32"/>
      <c r="K38" s="32"/>
    </row>
    <row r="39" spans="2:16" ht="13" customHeight="1">
      <c r="B39" s="186" t="s">
        <v>275</v>
      </c>
      <c r="C39" s="299"/>
      <c r="D39" s="299"/>
      <c r="E39" s="299"/>
      <c r="F39" s="299"/>
      <c r="G39" s="299"/>
      <c r="H39" s="299"/>
      <c r="I39" s="299">
        <f>+I37/I38</f>
        <v>50.841113213217582</v>
      </c>
      <c r="K39" s="32"/>
    </row>
    <row r="40" spans="2:16" ht="13" customHeight="1">
      <c r="B40" s="8" t="s">
        <v>276</v>
      </c>
      <c r="C40" s="34"/>
      <c r="D40" s="34"/>
      <c r="E40" s="34"/>
      <c r="F40" s="34"/>
      <c r="G40" s="34"/>
      <c r="H40" s="34"/>
      <c r="I40" s="237">
        <f>I39/49.5-1</f>
        <v>2.7093196226617877E-2</v>
      </c>
      <c r="J40" s="237"/>
      <c r="K40" s="32"/>
    </row>
    <row r="41" spans="2:16" ht="13" customHeight="1">
      <c r="B41" s="8" t="s">
        <v>277</v>
      </c>
      <c r="C41" s="119"/>
      <c r="D41" s="119"/>
      <c r="E41" s="119"/>
      <c r="F41" s="119"/>
      <c r="G41" s="119"/>
      <c r="H41" s="119"/>
      <c r="I41" s="119">
        <f>+I33/Restatements!I16</f>
        <v>13.158503610665564</v>
      </c>
      <c r="J41" s="32"/>
      <c r="K41" s="32"/>
    </row>
    <row r="42" spans="2:16" ht="13" customHeight="1">
      <c r="C42" s="119"/>
      <c r="D42" s="119"/>
      <c r="E42" s="119"/>
      <c r="F42" s="119"/>
      <c r="G42" s="119"/>
      <c r="H42" s="119"/>
      <c r="I42" s="119"/>
      <c r="J42" s="32"/>
      <c r="K42" s="32"/>
    </row>
    <row r="43" spans="2:16" ht="13" customHeight="1">
      <c r="B43" s="505" t="s">
        <v>278</v>
      </c>
      <c r="C43" s="301"/>
      <c r="D43" s="301"/>
      <c r="E43" s="301"/>
      <c r="F43" s="301"/>
      <c r="J43" s="32"/>
      <c r="K43" s="32"/>
      <c r="M43" s="32"/>
      <c r="N43" s="32"/>
      <c r="P43" s="6"/>
    </row>
    <row r="44" spans="2:16" ht="13" customHeight="1" thickBot="1">
      <c r="I44" s="32"/>
      <c r="J44" s="32"/>
      <c r="K44" s="32"/>
      <c r="M44" s="32"/>
      <c r="N44" s="32"/>
      <c r="P44" s="6"/>
    </row>
    <row r="45" spans="2:16" ht="20" customHeight="1" thickTop="1" thickBot="1">
      <c r="G45" s="309" t="s">
        <v>253</v>
      </c>
      <c r="H45" s="306"/>
      <c r="I45" s="308"/>
      <c r="J45" s="306"/>
      <c r="K45" s="307"/>
      <c r="L45" s="70" t="s">
        <v>279</v>
      </c>
      <c r="M45" s="32"/>
      <c r="N45" s="32"/>
      <c r="P45" s="6"/>
    </row>
    <row r="46" spans="2:16" ht="13" customHeight="1" thickTop="1" thickBot="1">
      <c r="F46" s="58">
        <f>+I37</f>
        <v>13667.10805397715</v>
      </c>
      <c r="G46" s="506">
        <f>+H46-0.5%</f>
        <v>1.1999999999999997E-2</v>
      </c>
      <c r="H46" s="506">
        <f>+I46-0.5%</f>
        <v>1.6999999999999998E-2</v>
      </c>
      <c r="I46" s="69">
        <v>2.1999999999999999E-2</v>
      </c>
      <c r="J46" s="506">
        <f>+I46+0.5%</f>
        <v>2.7E-2</v>
      </c>
      <c r="K46" s="506">
        <f>+J46+0.5%</f>
        <v>3.2000000000000001E-2</v>
      </c>
      <c r="L46" s="142">
        <f>+F10-I46</f>
        <v>0</v>
      </c>
      <c r="P46" s="6"/>
    </row>
    <row r="47" spans="2:16" ht="13" customHeight="1" thickTop="1" thickBot="1">
      <c r="E47" s="525" t="s">
        <v>234</v>
      </c>
      <c r="F47" s="506">
        <f>+F48-0.5%</f>
        <v>6.7483278329688937E-2</v>
      </c>
      <c r="G47" s="59">
        <f t="dataTable" ref="G47:K51" dt2D="1" dtr="1" r1="F10" r2="F11" ca="1"/>
        <v>13931.753044017974</v>
      </c>
      <c r="H47" s="60">
        <v>14957.645356731291</v>
      </c>
      <c r="I47" s="60">
        <v>16207.213538630152</v>
      </c>
      <c r="J47" s="60">
        <v>17763.334722600372</v>
      </c>
      <c r="K47" s="61">
        <v>19755.599387524591</v>
      </c>
      <c r="L47" s="142">
        <f>+F11-F49</f>
        <v>0</v>
      </c>
      <c r="P47" s="6"/>
    </row>
    <row r="48" spans="2:16" ht="13" customHeight="1" thickTop="1" thickBot="1">
      <c r="E48" s="526"/>
      <c r="F48" s="506">
        <f>+F49-0.5%</f>
        <v>7.2483278329688941E-2</v>
      </c>
      <c r="G48" s="62">
        <v>12951.846459077142</v>
      </c>
      <c r="H48" s="302">
        <v>13799.864097516396</v>
      </c>
      <c r="I48" s="302">
        <v>14814.169769316661</v>
      </c>
      <c r="J48" s="302">
        <v>16049.603859604416</v>
      </c>
      <c r="K48" s="63">
        <v>17588.099611292953</v>
      </c>
      <c r="L48" s="142">
        <f>+I49-I37</f>
        <v>0</v>
      </c>
      <c r="P48" s="6"/>
    </row>
    <row r="49" spans="2:16" ht="13" customHeight="1" thickTop="1" thickBot="1">
      <c r="E49" s="526"/>
      <c r="F49" s="69">
        <f>WACC!$D$47</f>
        <v>7.7483278329688945E-2</v>
      </c>
      <c r="G49" s="62">
        <v>12117.370009240738</v>
      </c>
      <c r="H49" s="302">
        <v>12828.888638558336</v>
      </c>
      <c r="I49" s="303">
        <v>13667.10805397715</v>
      </c>
      <c r="J49" s="302">
        <v>14669.67461790467</v>
      </c>
      <c r="K49" s="63">
        <v>15890.788628080256</v>
      </c>
      <c r="L49" s="142"/>
      <c r="P49" s="6"/>
    </row>
    <row r="50" spans="2:16" ht="13" customHeight="1" thickTop="1" thickBot="1">
      <c r="E50" s="526"/>
      <c r="F50" s="506">
        <f>+F49+0.5%</f>
        <v>8.248327832968895E-2</v>
      </c>
      <c r="G50" s="62">
        <v>11397.498346214459</v>
      </c>
      <c r="H50" s="302">
        <v>12002.063600768692</v>
      </c>
      <c r="I50" s="302">
        <v>12705.172475920368</v>
      </c>
      <c r="J50" s="302">
        <v>13533.46640947671</v>
      </c>
      <c r="K50" s="63">
        <v>14524.14139857181</v>
      </c>
      <c r="L50" s="142"/>
      <c r="P50" s="6"/>
    </row>
    <row r="51" spans="2:16" ht="13" customHeight="1" thickTop="1" thickBot="1">
      <c r="E51" s="526"/>
      <c r="F51" s="506">
        <f>+F50+0.5%</f>
        <v>8.7483278329688954E-2</v>
      </c>
      <c r="G51" s="143">
        <v>10769.56929734237</v>
      </c>
      <c r="H51" s="144">
        <v>11288.832656397546</v>
      </c>
      <c r="I51" s="144">
        <v>11886.088785629963</v>
      </c>
      <c r="J51" s="144">
        <v>12580.680081565837</v>
      </c>
      <c r="K51" s="145">
        <v>13398.921274417695</v>
      </c>
      <c r="L51" s="142"/>
      <c r="P51" s="6"/>
    </row>
    <row r="52" spans="2:16" ht="13" customHeight="1" thickTop="1">
      <c r="E52" s="8"/>
      <c r="F52" s="8"/>
      <c r="G52" s="19"/>
      <c r="H52" s="137"/>
      <c r="I52" s="137"/>
      <c r="J52" s="137"/>
      <c r="K52" s="137"/>
      <c r="L52" s="142"/>
      <c r="P52" s="6"/>
    </row>
    <row r="53" spans="2:16" ht="13" customHeight="1">
      <c r="B53" s="6"/>
      <c r="E53" s="507" t="s">
        <v>280</v>
      </c>
      <c r="F53" s="508"/>
      <c r="G53" s="508" t="s">
        <v>110</v>
      </c>
      <c r="H53" s="508" t="s">
        <v>110</v>
      </c>
      <c r="I53" s="507" t="s">
        <v>110</v>
      </c>
      <c r="J53" s="507" t="s">
        <v>110</v>
      </c>
      <c r="K53" s="507" t="s">
        <v>110</v>
      </c>
      <c r="L53" s="142"/>
      <c r="P53" s="6"/>
    </row>
    <row r="54" spans="2:16" ht="13" customHeight="1">
      <c r="B54" s="6"/>
      <c r="E54" s="222"/>
      <c r="F54" s="222"/>
      <c r="G54" s="222"/>
      <c r="H54" s="222"/>
      <c r="I54" s="222"/>
      <c r="J54" s="137"/>
      <c r="K54" s="137"/>
      <c r="L54" s="142"/>
      <c r="P54" s="6"/>
    </row>
    <row r="55" spans="2:16" ht="13" customHeight="1">
      <c r="B55" s="6"/>
      <c r="E55" s="222" t="s">
        <v>281</v>
      </c>
      <c r="F55" s="222"/>
      <c r="G55" s="222"/>
      <c r="H55" s="222"/>
      <c r="J55" s="137"/>
      <c r="K55" s="243">
        <f>MIN(H48:J50)</f>
        <v>12002.063600768692</v>
      </c>
      <c r="L55" s="142"/>
      <c r="P55" s="6"/>
    </row>
    <row r="56" spans="2:16" ht="13" customHeight="1">
      <c r="B56" s="6"/>
      <c r="E56" s="222" t="s">
        <v>282</v>
      </c>
      <c r="F56" s="222"/>
      <c r="G56" s="222"/>
      <c r="H56" s="222"/>
      <c r="J56" s="137"/>
      <c r="K56" s="243">
        <f>MAX(H48:J50)</f>
        <v>16049.603859604416</v>
      </c>
      <c r="L56" s="142"/>
      <c r="P56" s="6"/>
    </row>
    <row r="57" spans="2:16" ht="13" customHeight="1">
      <c r="B57" s="6"/>
      <c r="E57" s="224" t="s">
        <v>216</v>
      </c>
      <c r="F57" s="224" t="s">
        <v>110</v>
      </c>
      <c r="G57" s="224" t="s">
        <v>110</v>
      </c>
      <c r="H57" s="224" t="s">
        <v>110</v>
      </c>
      <c r="I57" s="242"/>
      <c r="J57" s="242"/>
      <c r="K57" s="244">
        <f>AVERAGE(H48:J50)</f>
        <v>13785.556835893711</v>
      </c>
      <c r="P57" s="6"/>
    </row>
    <row r="58" spans="2:16" ht="13" customHeight="1">
      <c r="P58" s="6"/>
    </row>
    <row r="59" spans="2:16" ht="13" customHeight="1">
      <c r="B59" s="505" t="s">
        <v>283</v>
      </c>
      <c r="J59" s="32"/>
      <c r="K59" s="32"/>
      <c r="M59" s="32"/>
      <c r="N59" s="32"/>
      <c r="P59" s="6"/>
    </row>
    <row r="60" spans="2:16" ht="13" customHeight="1" thickBot="1">
      <c r="I60" s="32"/>
      <c r="J60" s="32"/>
      <c r="K60" s="32"/>
      <c r="M60" s="32"/>
      <c r="N60" s="32"/>
      <c r="P60" s="6"/>
    </row>
    <row r="61" spans="2:16" ht="20" customHeight="1" thickTop="1" thickBot="1">
      <c r="G61" s="309" t="s">
        <v>253</v>
      </c>
      <c r="H61" s="306"/>
      <c r="I61" s="308"/>
      <c r="J61" s="306"/>
      <c r="K61" s="307"/>
      <c r="L61" s="70" t="s">
        <v>279</v>
      </c>
      <c r="M61" s="32"/>
      <c r="N61" s="32"/>
      <c r="P61" s="6"/>
    </row>
    <row r="62" spans="2:16" ht="13" customHeight="1" thickTop="1" thickBot="1">
      <c r="F62" s="58">
        <f>+I41</f>
        <v>13.158503610665564</v>
      </c>
      <c r="G62" s="506">
        <f>+H62-0.5%</f>
        <v>1.2E-2</v>
      </c>
      <c r="H62" s="506">
        <f>+I62-0.5%</f>
        <v>1.7000000000000001E-2</v>
      </c>
      <c r="I62" s="69">
        <f>2.2%</f>
        <v>2.2000000000000002E-2</v>
      </c>
      <c r="J62" s="506">
        <f>+I62+0.5%</f>
        <v>2.7000000000000003E-2</v>
      </c>
      <c r="K62" s="506">
        <f>+J62+0.5%</f>
        <v>3.2000000000000001E-2</v>
      </c>
      <c r="L62" s="142">
        <f>+$F$10-I62</f>
        <v>0</v>
      </c>
      <c r="P62" s="6"/>
    </row>
    <row r="63" spans="2:16" ht="13" customHeight="1" thickTop="1" thickBot="1">
      <c r="E63" s="525" t="s">
        <v>234</v>
      </c>
      <c r="F63" s="506">
        <f>+F64-0.5%</f>
        <v>6.7483278329688937E-2</v>
      </c>
      <c r="G63" s="171">
        <f t="dataTable" ref="G63:K67" dt2D="1" dtr="1" r1="F10" r2="F11"/>
        <v>13.413102907809302</v>
      </c>
      <c r="H63" s="172">
        <v>14.400053243508765</v>
      </c>
      <c r="I63" s="172">
        <v>15.602188907575375</v>
      </c>
      <c r="J63" s="172">
        <v>17.099241089247808</v>
      </c>
      <c r="K63" s="173">
        <v>19.015881125908859</v>
      </c>
      <c r="L63" s="142">
        <f>+F65-F11</f>
        <v>0</v>
      </c>
      <c r="P63" s="6"/>
    </row>
    <row r="64" spans="2:16" ht="13" customHeight="1" thickTop="1" thickBot="1">
      <c r="E64" s="526"/>
      <c r="F64" s="506">
        <f>+F65-0.5%</f>
        <v>7.2483278329688941E-2</v>
      </c>
      <c r="G64" s="174">
        <v>12.470392721782467</v>
      </c>
      <c r="H64" s="304">
        <v>13.286220350632799</v>
      </c>
      <c r="I64" s="304">
        <v>14.262023864197962</v>
      </c>
      <c r="J64" s="304">
        <v>15.450561954437845</v>
      </c>
      <c r="K64" s="175">
        <v>16.930657749858348</v>
      </c>
      <c r="L64" s="142">
        <f>+I65-I41</f>
        <v>0</v>
      </c>
      <c r="P64" s="6"/>
    </row>
    <row r="65" spans="2:16" ht="13" customHeight="1" thickTop="1" thickBot="1">
      <c r="E65" s="526"/>
      <c r="F65" s="69">
        <f>WACC!$D$47</f>
        <v>7.7483278329688945E-2</v>
      </c>
      <c r="G65" s="174">
        <v>11.667592269831438</v>
      </c>
      <c r="H65" s="304">
        <v>12.352102272839584</v>
      </c>
      <c r="I65" s="305">
        <v>13.158503610665566</v>
      </c>
      <c r="J65" s="304">
        <v>14.123013622649479</v>
      </c>
      <c r="K65" s="175">
        <v>15.297775210522783</v>
      </c>
      <c r="L65" s="142"/>
      <c r="P65" s="6"/>
    </row>
    <row r="66" spans="2:16" ht="13" customHeight="1" thickTop="1" thickBot="1">
      <c r="E66" s="526"/>
      <c r="F66" s="506">
        <f>+F65+0.5%</f>
        <v>8.248327832968895E-2</v>
      </c>
      <c r="G66" s="174">
        <v>10.975046306985474</v>
      </c>
      <c r="H66" s="304">
        <v>11.556662792010517</v>
      </c>
      <c r="I66" s="304">
        <v>12.233082267782667</v>
      </c>
      <c r="J66" s="304">
        <v>13.029934886376866</v>
      </c>
      <c r="K66" s="175">
        <v>13.9830047173326</v>
      </c>
      <c r="L66" s="142"/>
      <c r="P66" s="6"/>
    </row>
    <row r="67" spans="2:16" ht="13" customHeight="1" thickTop="1" thickBot="1">
      <c r="E67" s="526"/>
      <c r="F67" s="506">
        <f>+F66+0.5%</f>
        <v>8.7483278329688954E-2</v>
      </c>
      <c r="G67" s="176">
        <v>10.370952896888017</v>
      </c>
      <c r="H67" s="177">
        <v>10.870505471934118</v>
      </c>
      <c r="I67" s="177">
        <v>11.445090279656741</v>
      </c>
      <c r="J67" s="177">
        <v>12.113315496087822</v>
      </c>
      <c r="K67" s="178">
        <v>12.900496967242818</v>
      </c>
      <c r="L67" s="142"/>
      <c r="P67" s="6"/>
    </row>
    <row r="68" spans="2:16" ht="13" customHeight="1" thickTop="1">
      <c r="P68" s="6"/>
    </row>
    <row r="70" spans="2:16" ht="13" customHeight="1">
      <c r="G70" s="32"/>
      <c r="H70" s="32"/>
      <c r="I70" s="32"/>
      <c r="J70" s="32"/>
      <c r="K70" s="32"/>
      <c r="L70" s="32"/>
    </row>
    <row r="71" spans="2:16" ht="15" customHeight="1">
      <c r="B71" s="509" t="s">
        <v>284</v>
      </c>
      <c r="C71" s="510"/>
      <c r="D71" s="510"/>
      <c r="E71" s="510"/>
      <c r="F71" s="511">
        <f>+F$5</f>
        <v>43830</v>
      </c>
      <c r="G71" s="511">
        <f t="shared" ref="G71:O71" si="2">+G$5</f>
        <v>44196</v>
      </c>
      <c r="H71" s="511">
        <f t="shared" si="2"/>
        <v>44561</v>
      </c>
      <c r="I71" s="511">
        <f t="shared" si="2"/>
        <v>44926</v>
      </c>
      <c r="J71" s="511">
        <f t="shared" si="2"/>
        <v>45291</v>
      </c>
      <c r="K71" s="511">
        <f t="shared" si="2"/>
        <v>45657</v>
      </c>
      <c r="L71" s="511">
        <f t="shared" si="2"/>
        <v>46022</v>
      </c>
      <c r="M71" s="511">
        <f t="shared" si="2"/>
        <v>46387</v>
      </c>
      <c r="N71" s="511">
        <f t="shared" si="2"/>
        <v>46752</v>
      </c>
      <c r="O71" s="511">
        <f t="shared" si="2"/>
        <v>47118</v>
      </c>
    </row>
    <row r="72" spans="2:16" ht="5" customHeight="1"/>
    <row r="73" spans="2:16" ht="13" customHeight="1">
      <c r="B73" s="8" t="s">
        <v>127</v>
      </c>
      <c r="C73" s="56"/>
      <c r="D73" s="56"/>
      <c r="E73" s="56"/>
      <c r="F73" s="57"/>
      <c r="G73" s="57"/>
      <c r="H73" s="57"/>
      <c r="I73" s="19">
        <f>Restatements!I77</f>
        <v>2913.1030530000003</v>
      </c>
      <c r="J73" s="19">
        <f>Restatements!J77</f>
        <v>3008.4927063511991</v>
      </c>
      <c r="K73" s="19">
        <f>Restatements!K77</f>
        <v>3048.5243324857029</v>
      </c>
      <c r="L73" s="19">
        <f>Restatements!L77</f>
        <v>3009.8855430565941</v>
      </c>
      <c r="M73" s="19">
        <f>Restatements!M77</f>
        <v>3884.5883186509545</v>
      </c>
      <c r="N73" s="19">
        <f>Restatements!N77</f>
        <v>3888.444057862866</v>
      </c>
      <c r="O73" s="19"/>
    </row>
    <row r="74" spans="2:16" ht="13" customHeight="1">
      <c r="B74" s="8" t="s">
        <v>285</v>
      </c>
      <c r="C74" s="56"/>
      <c r="D74" s="56"/>
      <c r="E74" s="56"/>
      <c r="F74" s="57"/>
      <c r="G74" s="86">
        <f>+(Restatements!G21*(1-(Restatements!G30/Restatements!G28)))/AVERAGE(Restatements!F77:G77)</f>
        <v>0.31252316772120309</v>
      </c>
      <c r="H74" s="86">
        <f>+(Restatements!H21*(1-(Restatements!H30/Restatements!H28)))/AVERAGE(Restatements!G77:H77)</f>
        <v>0.38796311888711243</v>
      </c>
      <c r="I74" s="86">
        <f>+(Restatements!I21*(1-(Restatements!I30/Restatements!I28)))/AVERAGE(Restatements!H77:I77)</f>
        <v>0.34219850809783386</v>
      </c>
      <c r="J74" s="86">
        <f>+(Restatements!J21*(1-(Restatements!J30/Restatements!J28)))/AVERAGE(Restatements!I77:J77)</f>
        <v>0.40290224398510116</v>
      </c>
      <c r="K74" s="86">
        <f>+(Restatements!K21*(1-(Restatements!K30/Restatements!K28)))/AVERAGE(Restatements!J77:K77)</f>
        <v>0.41050835089697141</v>
      </c>
      <c r="L74" s="86">
        <f>+(Restatements!L21*(1-(Restatements!L30/Restatements!L28)))/AVERAGE(Restatements!K77:L77)</f>
        <v>0.41399255986713068</v>
      </c>
      <c r="M74" s="86">
        <f>+(Restatements!M21*(1-(Restatements!M30/Restatements!M28)))/AVERAGE(Restatements!L77:M77)</f>
        <v>0.4126238445955428</v>
      </c>
      <c r="N74" s="86">
        <f>+(Restatements!N21*(1-(Restatements!N30/Restatements!N28)))/AVERAGE(Restatements!M77:N77)</f>
        <v>0.38002217679007139</v>
      </c>
      <c r="O74" s="86">
        <f>+N74</f>
        <v>0.38002217679007139</v>
      </c>
    </row>
    <row r="75" spans="2:16" ht="13" customHeight="1">
      <c r="B75" s="8" t="s">
        <v>286</v>
      </c>
      <c r="C75" s="56"/>
      <c r="D75" s="56"/>
      <c r="E75" s="56"/>
      <c r="F75" s="57"/>
      <c r="G75" s="57"/>
      <c r="H75" s="57"/>
      <c r="I75" s="57"/>
      <c r="J75" s="19">
        <f>+I73*(J74-$F$11)</f>
        <v>947.97898235488356</v>
      </c>
      <c r="K75" s="19">
        <f t="shared" ref="K75:O75" si="3">+J73*(K74-$F$11)</f>
        <v>1001.9035018507482</v>
      </c>
      <c r="L75" s="19">
        <f t="shared" si="3"/>
        <v>1025.8567328741731</v>
      </c>
      <c r="M75" s="19">
        <f t="shared" si="3"/>
        <v>1008.7347452953941</v>
      </c>
      <c r="N75" s="19">
        <f t="shared" si="3"/>
        <v>1175.2390708967289</v>
      </c>
      <c r="O75" s="19">
        <f t="shared" si="3"/>
        <v>1176.4055819906512</v>
      </c>
    </row>
    <row r="76" spans="2:16" ht="13" customHeight="1">
      <c r="B76" s="8" t="s">
        <v>287</v>
      </c>
      <c r="C76" s="56"/>
      <c r="D76" s="56"/>
      <c r="E76" s="56"/>
      <c r="F76" s="57"/>
      <c r="G76" s="57"/>
      <c r="H76" s="57"/>
      <c r="I76" s="57"/>
      <c r="J76" s="19">
        <f>+J75*J24</f>
        <v>879.80853292167785</v>
      </c>
      <c r="K76" s="19">
        <f>+K75*K24</f>
        <v>862.98811876205446</v>
      </c>
      <c r="L76" s="19">
        <f>+L75*L24</f>
        <v>820.07787694622721</v>
      </c>
      <c r="M76" s="19">
        <f>+M75*M24</f>
        <v>748.40180139423796</v>
      </c>
      <c r="N76" s="19">
        <f>+N75*N24</f>
        <v>809.23289105769868</v>
      </c>
    </row>
    <row r="77" spans="2:16" ht="13" customHeight="1">
      <c r="B77" s="8" t="s">
        <v>288</v>
      </c>
      <c r="C77" s="56"/>
      <c r="D77" s="56"/>
      <c r="E77" s="56"/>
      <c r="F77" s="57"/>
      <c r="G77" s="57"/>
      <c r="H77" s="57"/>
      <c r="I77" s="57"/>
      <c r="J77" s="19"/>
      <c r="K77" s="19"/>
      <c r="L77" s="19"/>
      <c r="M77" s="19"/>
      <c r="N77" s="19">
        <f>+O75/(F11-F10)</f>
        <v>21202.885218863499</v>
      </c>
    </row>
    <row r="78" spans="2:16" ht="13" customHeight="1">
      <c r="B78" s="12" t="s">
        <v>289</v>
      </c>
      <c r="C78" s="141"/>
      <c r="D78" s="141"/>
      <c r="E78" s="141"/>
      <c r="F78" s="141"/>
      <c r="G78" s="141"/>
      <c r="H78" s="141"/>
      <c r="I78" s="33">
        <f>+SUM(J76:N76)</f>
        <v>4120.5092210818966</v>
      </c>
      <c r="J78" s="138"/>
      <c r="K78" s="138"/>
      <c r="L78" s="138"/>
      <c r="M78" s="138"/>
      <c r="N78" s="138"/>
      <c r="O78" s="138"/>
    </row>
    <row r="79" spans="2:16" ht="13" customHeight="1">
      <c r="B79" s="11" t="s">
        <v>290</v>
      </c>
      <c r="C79" s="42"/>
      <c r="D79" s="42"/>
      <c r="E79" s="42"/>
      <c r="F79" s="34"/>
      <c r="G79" s="34"/>
      <c r="H79" s="34"/>
      <c r="I79" s="34">
        <f>+N77*N24</f>
        <v>14599.644046324576</v>
      </c>
      <c r="J79" s="32"/>
      <c r="K79" s="32"/>
      <c r="L79" s="32"/>
      <c r="M79" s="32"/>
      <c r="N79" s="55"/>
      <c r="O79" s="32"/>
    </row>
    <row r="80" spans="2:16" ht="5" customHeight="1">
      <c r="F80" s="32"/>
      <c r="G80" s="32"/>
      <c r="H80" s="32"/>
      <c r="I80" s="32"/>
      <c r="J80" s="32"/>
      <c r="K80" s="32"/>
      <c r="L80" s="32"/>
      <c r="M80" s="32"/>
      <c r="N80" s="32"/>
      <c r="O80" s="32"/>
    </row>
    <row r="81" spans="2:15" ht="13" customHeight="1">
      <c r="B81" s="186" t="s">
        <v>291</v>
      </c>
      <c r="C81" s="310"/>
      <c r="D81" s="310"/>
      <c r="E81" s="310"/>
      <c r="F81" s="299"/>
      <c r="G81" s="299"/>
      <c r="H81" s="299"/>
      <c r="I81" s="299">
        <f>+I79+I78</f>
        <v>18720.153267406473</v>
      </c>
      <c r="J81" s="32"/>
      <c r="K81" s="32"/>
      <c r="L81" s="32"/>
      <c r="M81" s="32"/>
      <c r="N81" s="55"/>
      <c r="O81" s="32"/>
    </row>
    <row r="82" spans="2:15" ht="13" customHeight="1">
      <c r="B82" s="8" t="s">
        <v>292</v>
      </c>
      <c r="I82" s="19">
        <f>+I73</f>
        <v>2913.1030530000003</v>
      </c>
      <c r="J82" s="32"/>
      <c r="K82" s="32"/>
    </row>
    <row r="83" spans="2:15" ht="13" customHeight="1">
      <c r="B83" s="186" t="s">
        <v>269</v>
      </c>
      <c r="C83" s="310"/>
      <c r="D83" s="310"/>
      <c r="E83" s="310"/>
      <c r="F83" s="299"/>
      <c r="G83" s="299"/>
      <c r="H83" s="299"/>
      <c r="I83" s="299">
        <f>+I82+I81</f>
        <v>21633.256320406472</v>
      </c>
      <c r="J83" s="32"/>
      <c r="K83" s="32"/>
    </row>
    <row r="84" spans="2:15" ht="13" customHeight="1">
      <c r="B84" s="8" t="s">
        <v>270</v>
      </c>
      <c r="C84" s="32"/>
      <c r="D84" s="32"/>
      <c r="E84" s="32"/>
      <c r="F84" s="32"/>
      <c r="G84" s="32"/>
      <c r="H84" s="32"/>
      <c r="I84" s="32">
        <f>I34</f>
        <v>-30.529999999999973</v>
      </c>
      <c r="J84" s="17"/>
      <c r="K84" s="17"/>
      <c r="L84" s="17"/>
    </row>
    <row r="85" spans="2:15" ht="13" customHeight="1">
      <c r="B85" s="8" t="s">
        <v>271</v>
      </c>
      <c r="C85" s="32"/>
      <c r="D85" s="32"/>
      <c r="E85" s="32"/>
      <c r="F85" s="32"/>
      <c r="G85" s="32"/>
      <c r="H85" s="32"/>
      <c r="I85" s="32">
        <f t="shared" ref="I85:I86" si="4">I35</f>
        <v>19.824998000000001</v>
      </c>
    </row>
    <row r="86" spans="2:15" ht="13" customHeight="1">
      <c r="B86" s="8" t="s">
        <v>272</v>
      </c>
      <c r="C86" s="32"/>
      <c r="D86" s="32"/>
      <c r="E86" s="32"/>
      <c r="F86" s="32"/>
      <c r="G86" s="32"/>
      <c r="H86" s="32"/>
      <c r="I86" s="32">
        <f t="shared" si="4"/>
        <v>0.11600000000000001</v>
      </c>
    </row>
    <row r="87" spans="2:15" ht="13" customHeight="1">
      <c r="B87" s="186" t="s">
        <v>273</v>
      </c>
      <c r="C87" s="299"/>
      <c r="D87" s="299"/>
      <c r="E87" s="299"/>
      <c r="F87" s="299"/>
      <c r="G87" s="299"/>
      <c r="H87" s="299"/>
      <c r="I87" s="299">
        <f>SUM(I83:I86)</f>
        <v>21622.667318406475</v>
      </c>
    </row>
    <row r="88" spans="2:15" ht="13" customHeight="1">
      <c r="B88" s="8" t="s">
        <v>274</v>
      </c>
      <c r="C88" s="65"/>
      <c r="D88" s="65"/>
      <c r="E88" s="65"/>
      <c r="F88" s="65"/>
      <c r="G88" s="65"/>
      <c r="H88" s="65"/>
      <c r="I88" s="65">
        <f>AsReported!$I$84</f>
        <v>268.82</v>
      </c>
    </row>
    <row r="89" spans="2:15" ht="13" customHeight="1">
      <c r="B89" s="186" t="s">
        <v>275</v>
      </c>
      <c r="C89" s="299"/>
      <c r="D89" s="299"/>
      <c r="E89" s="299"/>
      <c r="F89" s="299"/>
      <c r="G89" s="299"/>
      <c r="H89" s="299"/>
      <c r="I89" s="299">
        <f>+I87/I88</f>
        <v>80.435485895418779</v>
      </c>
    </row>
    <row r="93" spans="2:15" ht="13" customHeight="1">
      <c r="J93" s="19"/>
      <c r="K93" s="19"/>
      <c r="L93" s="17"/>
      <c r="M93" s="17"/>
      <c r="N93" s="17"/>
      <c r="O93" s="17"/>
    </row>
    <row r="94" spans="2:15" ht="13" customHeight="1">
      <c r="J94" s="32"/>
      <c r="K94" s="32"/>
      <c r="L94" s="32"/>
      <c r="M94" s="32"/>
      <c r="N94" s="32"/>
      <c r="O94" s="32"/>
    </row>
    <row r="95" spans="2:15" ht="13" customHeight="1">
      <c r="F95" s="19"/>
      <c r="G95" s="19"/>
      <c r="H95" s="19"/>
      <c r="I95" s="19"/>
      <c r="J95" s="19"/>
      <c r="K95" s="19"/>
      <c r="L95" s="19"/>
    </row>
    <row r="96" spans="2:15" ht="13" customHeight="1">
      <c r="F96" s="87"/>
      <c r="G96" s="87"/>
      <c r="H96" s="87"/>
      <c r="I96" s="87"/>
      <c r="J96" s="87"/>
      <c r="K96" s="87"/>
      <c r="L96" s="87"/>
    </row>
    <row r="97" spans="6:12" ht="13" customHeight="1">
      <c r="F97" s="19"/>
      <c r="G97" s="19"/>
      <c r="H97" s="19"/>
      <c r="I97" s="19"/>
      <c r="J97" s="19"/>
      <c r="K97" s="19"/>
      <c r="L97" s="19"/>
    </row>
  </sheetData>
  <mergeCells count="2">
    <mergeCell ref="E47:E51"/>
    <mergeCell ref="E63:E67"/>
  </mergeCells>
  <conditionalFormatting sqref="I40">
    <cfRule type="cellIs" dxfId="13" priority="1" operator="lessThan">
      <formula>0</formula>
    </cfRule>
    <cfRule type="cellIs" dxfId="12" priority="3" operator="greaterThan">
      <formula>0</formula>
    </cfRule>
  </conditionalFormatting>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R47"/>
  <sheetViews>
    <sheetView showGridLines="0" zoomScale="125" zoomScaleNormal="100" workbookViewId="0">
      <selection activeCell="B45" sqref="B45"/>
    </sheetView>
  </sheetViews>
  <sheetFormatPr baseColWidth="10" defaultColWidth="13.5" defaultRowHeight="13" customHeight="1" outlineLevelRow="1"/>
  <cols>
    <col min="1" max="1" width="16.75" customWidth="1"/>
    <col min="2" max="2" width="25.75" customWidth="1"/>
    <col min="3" max="3" width="16.25" customWidth="1"/>
    <col min="4" max="4" width="12.75" customWidth="1"/>
    <col min="5" max="5" width="13.25" bestFit="1" customWidth="1"/>
  </cols>
  <sheetData>
    <row r="1" spans="1:18" ht="13" customHeight="1">
      <c r="B1" s="5"/>
      <c r="E1" s="24"/>
      <c r="H1" s="24"/>
      <c r="N1" s="24"/>
    </row>
    <row r="2" spans="1:18" ht="20" customHeight="1">
      <c r="A2" s="478"/>
      <c r="B2" s="491" t="s">
        <v>293</v>
      </c>
      <c r="C2" s="480"/>
      <c r="D2" s="495"/>
      <c r="E2" s="478"/>
      <c r="F2" s="495"/>
      <c r="G2" s="495"/>
      <c r="H2" s="478"/>
      <c r="I2" s="478"/>
      <c r="J2" s="478"/>
      <c r="K2" s="478"/>
      <c r="L2" s="478"/>
      <c r="M2" s="478"/>
      <c r="N2" s="478"/>
      <c r="O2" s="478"/>
      <c r="P2" s="478"/>
      <c r="Q2" s="478"/>
      <c r="R2" s="478"/>
    </row>
    <row r="3" spans="1:18" ht="13" customHeight="1">
      <c r="B3" s="2"/>
      <c r="C3" s="16"/>
      <c r="D3" s="16"/>
      <c r="E3" s="30"/>
      <c r="F3" s="30"/>
      <c r="G3" s="30"/>
      <c r="H3" s="30"/>
      <c r="I3" s="30"/>
      <c r="J3" s="30"/>
      <c r="K3" s="30"/>
      <c r="L3" s="30"/>
      <c r="M3" s="30"/>
      <c r="N3" s="30"/>
      <c r="O3" s="30"/>
      <c r="P3" s="30"/>
      <c r="Q3" s="30"/>
      <c r="R3" s="30"/>
    </row>
    <row r="4" spans="1:18" ht="13" customHeight="1">
      <c r="B4" s="73" t="s">
        <v>294</v>
      </c>
      <c r="C4" s="74">
        <f>+DCF!I5</f>
        <v>44926</v>
      </c>
      <c r="E4" s="30"/>
      <c r="F4" s="30"/>
      <c r="G4" s="30"/>
      <c r="H4" s="30"/>
      <c r="I4" s="30"/>
      <c r="J4" s="30"/>
      <c r="K4" s="30"/>
      <c r="L4" s="30"/>
      <c r="M4" s="30"/>
      <c r="N4" s="30"/>
      <c r="O4" s="30"/>
      <c r="P4" s="30"/>
      <c r="Q4" s="30"/>
      <c r="R4" s="30"/>
    </row>
    <row r="5" spans="1:18" ht="13" customHeight="1">
      <c r="B5" s="76" t="s">
        <v>295</v>
      </c>
      <c r="C5" s="201">
        <f>+DCF!J5</f>
        <v>45291</v>
      </c>
      <c r="D5" s="30"/>
      <c r="E5" s="30"/>
      <c r="F5" s="30"/>
      <c r="G5" s="30"/>
      <c r="H5" s="30"/>
      <c r="I5" s="30"/>
      <c r="J5" s="30"/>
      <c r="K5" s="30"/>
      <c r="L5" s="30"/>
      <c r="M5" s="30"/>
      <c r="N5" s="30"/>
      <c r="O5" s="30"/>
      <c r="P5" s="30"/>
      <c r="Q5" s="30"/>
      <c r="R5" s="30"/>
    </row>
    <row r="6" spans="1:18" ht="13" customHeight="1">
      <c r="B6" s="2"/>
      <c r="C6" s="72"/>
      <c r="D6" s="30"/>
      <c r="E6" s="30"/>
      <c r="F6" s="30"/>
      <c r="I6" s="30"/>
      <c r="J6" s="30"/>
      <c r="K6" s="30"/>
      <c r="L6" s="30"/>
      <c r="M6" s="77"/>
      <c r="N6" s="77"/>
      <c r="O6" s="77"/>
      <c r="P6" s="77"/>
      <c r="Q6" s="77"/>
      <c r="R6" s="77"/>
    </row>
    <row r="7" spans="1:18" ht="13" customHeight="1">
      <c r="B7" s="2"/>
      <c r="C7" s="16"/>
      <c r="D7" s="16"/>
      <c r="E7" s="30"/>
      <c r="F7" s="30"/>
      <c r="G7" s="30"/>
      <c r="H7" s="30"/>
      <c r="I7" s="30"/>
      <c r="J7" s="30"/>
      <c r="K7" s="30"/>
      <c r="L7" s="30"/>
      <c r="M7" s="77"/>
      <c r="N7" s="77"/>
      <c r="O7" s="77"/>
      <c r="P7" s="77"/>
      <c r="Q7" s="77"/>
      <c r="R7" s="77"/>
    </row>
    <row r="8" spans="1:18" ht="22.5" customHeight="1">
      <c r="B8" s="512" t="s">
        <v>8</v>
      </c>
      <c r="C8" s="515" t="s">
        <v>201</v>
      </c>
      <c r="D8" s="515" t="s">
        <v>202</v>
      </c>
      <c r="E8" s="515" t="s">
        <v>296</v>
      </c>
      <c r="F8" s="515" t="s">
        <v>207</v>
      </c>
      <c r="G8" s="515" t="s">
        <v>297</v>
      </c>
      <c r="H8" s="515" t="s">
        <v>298</v>
      </c>
      <c r="I8" s="515" t="s">
        <v>299</v>
      </c>
      <c r="J8" s="515" t="s">
        <v>300</v>
      </c>
      <c r="K8" s="515" t="s">
        <v>301</v>
      </c>
      <c r="L8" s="515" t="s">
        <v>302</v>
      </c>
      <c r="M8" s="515" t="s">
        <v>303</v>
      </c>
      <c r="N8" s="515" t="s">
        <v>304</v>
      </c>
      <c r="O8" s="515" t="s">
        <v>305</v>
      </c>
      <c r="P8" s="515" t="s">
        <v>306</v>
      </c>
      <c r="Q8" s="515" t="s">
        <v>307</v>
      </c>
      <c r="R8" s="515" t="s">
        <v>308</v>
      </c>
    </row>
    <row r="9" spans="1:18" ht="5" customHeight="1">
      <c r="G9" s="52"/>
      <c r="H9" s="52"/>
    </row>
    <row r="10" spans="1:18" ht="13" customHeight="1">
      <c r="B10" s="2" t="e" vm="1">
        <f>WACC!B6</f>
        <v>#VALUE!</v>
      </c>
      <c r="C10" s="2" t="str">
        <f>WACC!C6</f>
        <v>Italy</v>
      </c>
      <c r="D10" s="2" t="str">
        <f>WACC!D6</f>
        <v>EUR million</v>
      </c>
      <c r="E10" s="71">
        <f>WACC!E6</f>
        <v>941.70800000000008</v>
      </c>
      <c r="F10" s="71">
        <f>WACC!L6</f>
        <v>1500.0080000000003</v>
      </c>
      <c r="G10" s="52">
        <v>207.8</v>
      </c>
      <c r="H10" s="52">
        <v>249.9</v>
      </c>
      <c r="I10" s="52">
        <v>58.23</v>
      </c>
      <c r="J10" s="52">
        <v>90.93</v>
      </c>
      <c r="K10" s="52">
        <v>23.1</v>
      </c>
      <c r="L10" s="52">
        <v>46.2</v>
      </c>
      <c r="M10" s="77">
        <f>+$F10/G10</f>
        <v>7.2185178055822918</v>
      </c>
      <c r="N10" s="77">
        <f>+$F10/H10</f>
        <v>6.0024329731892765</v>
      </c>
      <c r="O10" s="77">
        <f>+$F10/I10</f>
        <v>25.760054954490819</v>
      </c>
      <c r="P10" s="77">
        <f>F10/J10</f>
        <v>16.496293852413945</v>
      </c>
      <c r="Q10" s="179">
        <f>E10/K10</f>
        <v>40.766580086580085</v>
      </c>
      <c r="R10" s="77">
        <f>+$E10/L10</f>
        <v>20.383290043290042</v>
      </c>
    </row>
    <row r="11" spans="1:18" ht="13" customHeight="1">
      <c r="B11" s="2" t="e" vm="2">
        <f>WACC!B7</f>
        <v>#VALUE!</v>
      </c>
      <c r="C11" s="2" t="str">
        <f>WACC!C7</f>
        <v>United Kingdom</v>
      </c>
      <c r="D11" s="2" t="str">
        <f>WACC!D7</f>
        <v>GBp million</v>
      </c>
      <c r="E11" s="71">
        <f>WACC!E7</f>
        <v>7900.3540000000003</v>
      </c>
      <c r="F11" s="71">
        <f>WACC!L7</f>
        <v>8360.5139999999992</v>
      </c>
      <c r="G11" s="52">
        <v>944.86</v>
      </c>
      <c r="H11" s="52">
        <v>964.76</v>
      </c>
      <c r="I11" s="52">
        <v>606.63</v>
      </c>
      <c r="J11" s="52">
        <v>618.39</v>
      </c>
      <c r="K11" s="52">
        <v>467.07</v>
      </c>
      <c r="L11" s="52">
        <v>445.54</v>
      </c>
      <c r="M11" s="77">
        <f t="shared" ref="M11:M15" si="0">+$F11/G11</f>
        <v>8.8484156382956201</v>
      </c>
      <c r="N11" s="77">
        <f t="shared" ref="N11:N15" si="1">+$F11/H11</f>
        <v>8.6659003275425999</v>
      </c>
      <c r="O11" s="77">
        <f t="shared" ref="O11:O15" si="2">+$F11/I11</f>
        <v>13.781900004945353</v>
      </c>
      <c r="P11" s="77">
        <f t="shared" ref="P11:P15" si="3">F11/J11</f>
        <v>13.519807888225875</v>
      </c>
      <c r="Q11" s="179">
        <f t="shared" ref="Q11:Q15" si="4">E11/K11</f>
        <v>16.914710857044984</v>
      </c>
      <c r="R11" s="77">
        <f t="shared" ref="R11:R15" si="5">+$E11/L11</f>
        <v>17.732086905777258</v>
      </c>
    </row>
    <row r="12" spans="1:18" ht="13" customHeight="1">
      <c r="B12" s="2" t="e" vm="3">
        <f>WACC!B8</f>
        <v>#VALUE!</v>
      </c>
      <c r="C12" s="2" t="str">
        <f>WACC!C8</f>
        <v>Italy</v>
      </c>
      <c r="D12" s="2" t="str">
        <f>WACC!D8</f>
        <v>EUR million</v>
      </c>
      <c r="E12" s="71">
        <f>WACC!E8</f>
        <v>2742.2869999999998</v>
      </c>
      <c r="F12" s="71">
        <f>WACC!L8</f>
        <v>2976.4569999999999</v>
      </c>
      <c r="G12" s="52">
        <v>287.2</v>
      </c>
      <c r="H12" s="52">
        <v>249</v>
      </c>
      <c r="I12" s="52">
        <v>127.97</v>
      </c>
      <c r="J12" s="52">
        <v>71.430000000000007</v>
      </c>
      <c r="K12" s="52">
        <v>69.599999999999994</v>
      </c>
      <c r="L12" s="52">
        <v>31.6</v>
      </c>
      <c r="M12" s="77">
        <f t="shared" si="0"/>
        <v>10.363708217270196</v>
      </c>
      <c r="N12" s="77">
        <f t="shared" si="1"/>
        <v>11.953642570281124</v>
      </c>
      <c r="O12" s="77">
        <f t="shared" si="2"/>
        <v>23.259021645698208</v>
      </c>
      <c r="P12" s="77">
        <f t="shared" si="3"/>
        <v>41.669564608707823</v>
      </c>
      <c r="Q12" s="179">
        <f t="shared" si="4"/>
        <v>39.400675287356322</v>
      </c>
      <c r="R12" s="77">
        <f>+$E12/L12</f>
        <v>86.781234177215183</v>
      </c>
    </row>
    <row r="13" spans="1:18" ht="13" customHeight="1">
      <c r="B13" s="2" t="e" vm="4">
        <f>WACC!B9</f>
        <v>#VALUE!</v>
      </c>
      <c r="C13" s="2" t="str">
        <f>WACC!C9</f>
        <v>Italy</v>
      </c>
      <c r="D13" s="2" t="str">
        <f>WACC!D9</f>
        <v>EUR million</v>
      </c>
      <c r="E13" s="71">
        <f>WACC!E9</f>
        <v>4698.7999999999993</v>
      </c>
      <c r="F13" s="71">
        <f>WACC!L9</f>
        <v>5281.1399999999994</v>
      </c>
      <c r="G13" s="52">
        <v>278.16000000000003</v>
      </c>
      <c r="H13" s="52">
        <v>325.10000000000002</v>
      </c>
      <c r="I13" s="52">
        <v>134.4</v>
      </c>
      <c r="J13" s="52">
        <v>179.38</v>
      </c>
      <c r="K13" s="52">
        <v>80.599999999999994</v>
      </c>
      <c r="L13" s="52">
        <v>112.8</v>
      </c>
      <c r="M13" s="77">
        <f t="shared" si="0"/>
        <v>18.985979292493525</v>
      </c>
      <c r="N13" s="77">
        <f t="shared" si="1"/>
        <v>16.244663180559826</v>
      </c>
      <c r="O13" s="77">
        <f t="shared" si="2"/>
        <v>39.294196428571425</v>
      </c>
      <c r="P13" s="77">
        <f t="shared" si="3"/>
        <v>29.441074813245621</v>
      </c>
      <c r="Q13" s="179">
        <f t="shared" si="4"/>
        <v>58.297766749379647</v>
      </c>
      <c r="R13" s="77">
        <f t="shared" si="5"/>
        <v>41.656028368794324</v>
      </c>
    </row>
    <row r="14" spans="1:18" ht="13" customHeight="1">
      <c r="B14" s="2" t="e" vm="5">
        <f>WACC!B10</f>
        <v>#VALUE!</v>
      </c>
      <c r="C14" s="2" t="str">
        <f>WACC!C10</f>
        <v>Canada</v>
      </c>
      <c r="D14" s="2" t="str">
        <f>WACC!D10</f>
        <v>USD million</v>
      </c>
      <c r="E14" s="71">
        <f>WACC!E10</f>
        <v>1881.9826999999998</v>
      </c>
      <c r="F14" s="71">
        <f>WACC!L10</f>
        <v>2233.3226999999997</v>
      </c>
      <c r="G14" s="52">
        <v>206.6</v>
      </c>
      <c r="H14" s="52">
        <v>193.9</v>
      </c>
      <c r="I14" s="52">
        <v>131.41999999999999</v>
      </c>
      <c r="J14" s="52">
        <v>114.01</v>
      </c>
      <c r="K14" s="52">
        <v>84.8</v>
      </c>
      <c r="L14" s="52">
        <v>69.8</v>
      </c>
      <c r="M14" s="77">
        <f t="shared" si="0"/>
        <v>10.809887221684413</v>
      </c>
      <c r="N14" s="77">
        <f t="shared" si="1"/>
        <v>11.517909747292418</v>
      </c>
      <c r="O14" s="77">
        <f t="shared" si="2"/>
        <v>16.993781007457006</v>
      </c>
      <c r="P14" s="77">
        <f t="shared" si="3"/>
        <v>19.588831681431451</v>
      </c>
      <c r="Q14" s="179">
        <f t="shared" si="4"/>
        <v>22.193192216981132</v>
      </c>
      <c r="R14" s="77">
        <f t="shared" si="5"/>
        <v>26.962502865329512</v>
      </c>
    </row>
    <row r="15" spans="1:18" ht="13" customHeight="1">
      <c r="B15" s="2" t="e" vm="6">
        <f>WACC!B11</f>
        <v>#VALUE!</v>
      </c>
      <c r="C15" s="2" t="str">
        <f>WACC!C11</f>
        <v>United States</v>
      </c>
      <c r="D15" s="2" t="str">
        <f>WACC!D11</f>
        <v>USD million</v>
      </c>
      <c r="E15" s="71">
        <f>WACC!E11</f>
        <v>7153.8590000000004</v>
      </c>
      <c r="F15" s="71">
        <f>WACC!L11</f>
        <v>8514.0590000000011</v>
      </c>
      <c r="G15" s="52">
        <v>1008.03</v>
      </c>
      <c r="H15" s="52">
        <v>1025.1199999999999</v>
      </c>
      <c r="I15" s="52">
        <v>785.19</v>
      </c>
      <c r="J15" s="52">
        <v>795.41</v>
      </c>
      <c r="K15" s="52">
        <v>587.36</v>
      </c>
      <c r="L15" s="52">
        <v>612.38</v>
      </c>
      <c r="M15" s="77">
        <f t="shared" si="0"/>
        <v>8.4462357271112971</v>
      </c>
      <c r="N15" s="77">
        <f t="shared" si="1"/>
        <v>8.3054266817543336</v>
      </c>
      <c r="O15" s="77">
        <f t="shared" si="2"/>
        <v>10.843310536303315</v>
      </c>
      <c r="P15" s="77">
        <f t="shared" si="3"/>
        <v>10.703987880464165</v>
      </c>
      <c r="Q15" s="179">
        <f t="shared" si="4"/>
        <v>12.179683669299919</v>
      </c>
      <c r="R15" s="77">
        <f t="shared" si="5"/>
        <v>11.682058525751986</v>
      </c>
    </row>
    <row r="16" spans="1:18" ht="13" customHeight="1">
      <c r="B16" s="4" t="s">
        <v>216</v>
      </c>
      <c r="C16" s="36"/>
      <c r="D16" s="36"/>
      <c r="E16" s="36"/>
      <c r="F16" s="36"/>
      <c r="G16" s="36"/>
      <c r="H16" s="36"/>
      <c r="I16" s="36"/>
      <c r="J16" s="36"/>
      <c r="K16" s="36"/>
      <c r="L16" s="36"/>
      <c r="M16" s="53">
        <f t="shared" ref="M16:R16" si="6">+AVERAGE(M10:M15)</f>
        <v>10.778790650406224</v>
      </c>
      <c r="N16" s="53">
        <f t="shared" si="6"/>
        <v>10.448329246769928</v>
      </c>
      <c r="O16" s="53">
        <f t="shared" si="6"/>
        <v>21.655377429577687</v>
      </c>
      <c r="P16" s="53">
        <f t="shared" si="6"/>
        <v>21.903260120748143</v>
      </c>
      <c r="Q16" s="53">
        <f t="shared" si="6"/>
        <v>31.625434811107013</v>
      </c>
      <c r="R16" s="53">
        <f t="shared" si="6"/>
        <v>34.199533481026378</v>
      </c>
    </row>
    <row r="17" spans="2:18" ht="13" customHeight="1">
      <c r="B17" s="10" t="s">
        <v>309</v>
      </c>
      <c r="M17" s="64">
        <f t="shared" ref="M17:R17" si="7">+MEDIAN(M10:M15)</f>
        <v>9.6060619277829069</v>
      </c>
      <c r="N17" s="64">
        <f t="shared" si="7"/>
        <v>10.091905037417508</v>
      </c>
      <c r="O17" s="64">
        <f t="shared" si="7"/>
        <v>20.126401326577607</v>
      </c>
      <c r="P17" s="64">
        <f t="shared" si="7"/>
        <v>18.0425627669227</v>
      </c>
      <c r="Q17" s="64">
        <f t="shared" si="7"/>
        <v>30.796933752168727</v>
      </c>
      <c r="R17" s="64">
        <f t="shared" si="7"/>
        <v>23.672896454309779</v>
      </c>
    </row>
    <row r="18" spans="2:18" ht="13" customHeight="1">
      <c r="B18" s="10"/>
      <c r="M18" s="64"/>
      <c r="N18" s="64"/>
      <c r="O18" s="64"/>
      <c r="P18" s="64"/>
      <c r="Q18" s="64"/>
      <c r="R18" s="64"/>
    </row>
    <row r="19" spans="2:18" ht="13" customHeight="1">
      <c r="B19" s="191" t="e" vm="7">
        <f>WACC!B14</f>
        <v>#VALUE!</v>
      </c>
      <c r="C19" s="189" t="str">
        <f>WACC!C14</f>
        <v>Italy</v>
      </c>
      <c r="D19" s="189" t="str">
        <f>WACC!D14</f>
        <v>EUR million</v>
      </c>
      <c r="E19" s="241">
        <f>WACC!E14</f>
        <v>13314.226562999998</v>
      </c>
      <c r="F19" s="192">
        <f>WACC!L14</f>
        <v>13349.156562999999</v>
      </c>
      <c r="G19" s="190">
        <f>Restatements!I16</f>
        <v>1039.4568760000002</v>
      </c>
      <c r="H19" s="190">
        <f>Restatements!J16</f>
        <v>1320.4205727831109</v>
      </c>
      <c r="I19" s="190">
        <f>Restatements!I21</f>
        <v>774.54687600000022</v>
      </c>
      <c r="J19" s="190">
        <f>Restatements!J21</f>
        <v>994.10637905221984</v>
      </c>
      <c r="K19" s="190">
        <f>Restatements!I31</f>
        <v>606.70587600000022</v>
      </c>
      <c r="L19" s="190">
        <f>Restatements!J31</f>
        <v>775.11511419821682</v>
      </c>
      <c r="M19" s="193">
        <f>+$F19/G19</f>
        <v>12.8424342281228</v>
      </c>
      <c r="N19" s="193">
        <f>+$F19/H19</f>
        <v>10.109776262318732</v>
      </c>
      <c r="O19" s="193">
        <f>+$F19/I19</f>
        <v>17.234794918984342</v>
      </c>
      <c r="P19" s="193">
        <f>+$F19/J19</f>
        <v>13.428297860564051</v>
      </c>
      <c r="Q19" s="193">
        <f>+$E19/K19</f>
        <v>21.945108972374605</v>
      </c>
      <c r="R19" s="193">
        <f>+$E19/L19</f>
        <v>17.177095787600923</v>
      </c>
    </row>
    <row r="22" spans="2:18" ht="22.5" customHeight="1">
      <c r="B22" s="516" t="s">
        <v>310</v>
      </c>
      <c r="C22" s="513"/>
      <c r="D22" s="513"/>
      <c r="E22" s="515" t="s">
        <v>311</v>
      </c>
      <c r="F22" s="515" t="s">
        <v>311</v>
      </c>
      <c r="G22" s="515" t="s">
        <v>312</v>
      </c>
      <c r="H22" s="515" t="s">
        <v>312</v>
      </c>
      <c r="I22" s="515" t="s">
        <v>313</v>
      </c>
      <c r="J22" s="515" t="s">
        <v>313</v>
      </c>
      <c r="K22" s="515" t="s">
        <v>314</v>
      </c>
      <c r="L22" s="515" t="s">
        <v>314</v>
      </c>
      <c r="M22" s="515" t="s">
        <v>315</v>
      </c>
      <c r="N22" s="515" t="s">
        <v>315</v>
      </c>
      <c r="O22" s="515" t="s">
        <v>316</v>
      </c>
      <c r="P22" s="515" t="s">
        <v>316</v>
      </c>
    </row>
    <row r="23" spans="2:18" ht="15" customHeight="1">
      <c r="B23" s="312" t="s">
        <v>317</v>
      </c>
      <c r="C23" s="223"/>
      <c r="D23" s="223"/>
      <c r="E23" s="313" t="s">
        <v>216</v>
      </c>
      <c r="F23" s="313" t="s">
        <v>309</v>
      </c>
      <c r="G23" s="313" t="s">
        <v>216</v>
      </c>
      <c r="H23" s="313" t="s">
        <v>309</v>
      </c>
      <c r="I23" s="313" t="s">
        <v>216</v>
      </c>
      <c r="J23" s="313" t="s">
        <v>309</v>
      </c>
      <c r="K23" s="313" t="s">
        <v>216</v>
      </c>
      <c r="L23" s="313" t="s">
        <v>309</v>
      </c>
      <c r="M23" s="313" t="s">
        <v>216</v>
      </c>
      <c r="N23" s="313" t="s">
        <v>309</v>
      </c>
      <c r="O23" s="313" t="s">
        <v>216</v>
      </c>
      <c r="P23" s="313" t="s">
        <v>309</v>
      </c>
    </row>
    <row r="24" spans="2:18" ht="36.5" customHeight="1">
      <c r="B24" s="78" t="s">
        <v>318</v>
      </c>
      <c r="C24" s="47"/>
      <c r="D24" s="47"/>
      <c r="E24" s="79" t="s">
        <v>319</v>
      </c>
      <c r="F24" s="79" t="s">
        <v>319</v>
      </c>
      <c r="G24" s="79" t="s">
        <v>320</v>
      </c>
      <c r="H24" s="79" t="s">
        <v>320</v>
      </c>
      <c r="I24" s="79" t="s">
        <v>321</v>
      </c>
      <c r="J24" s="79" t="s">
        <v>321</v>
      </c>
      <c r="K24" s="79" t="s">
        <v>322</v>
      </c>
      <c r="L24" s="79" t="s">
        <v>322</v>
      </c>
      <c r="M24" s="79" t="s">
        <v>323</v>
      </c>
      <c r="N24" s="79" t="s">
        <v>323</v>
      </c>
      <c r="O24" s="79" t="s">
        <v>324</v>
      </c>
      <c r="P24" s="79" t="s">
        <v>324</v>
      </c>
    </row>
    <row r="25" spans="2:18" ht="13" customHeight="1">
      <c r="B25" s="2" t="s">
        <v>318</v>
      </c>
      <c r="C25" s="3"/>
      <c r="D25" s="3"/>
      <c r="E25" s="3">
        <f>G19</f>
        <v>1039.4568760000002</v>
      </c>
      <c r="F25" s="3">
        <f>G19</f>
        <v>1039.4568760000002</v>
      </c>
      <c r="G25" s="3">
        <f>H19</f>
        <v>1320.4205727831109</v>
      </c>
      <c r="H25" s="3">
        <f>H19</f>
        <v>1320.4205727831109</v>
      </c>
      <c r="I25" s="3">
        <f>I19</f>
        <v>774.54687600000022</v>
      </c>
      <c r="J25" s="3">
        <f>I19</f>
        <v>774.54687600000022</v>
      </c>
      <c r="K25" s="3">
        <f>J19</f>
        <v>994.10637905221984</v>
      </c>
      <c r="L25" s="3">
        <f>J19</f>
        <v>994.10637905221984</v>
      </c>
      <c r="M25" s="3">
        <f>K19</f>
        <v>606.70587600000022</v>
      </c>
      <c r="N25" s="3">
        <f>K19</f>
        <v>606.70587600000022</v>
      </c>
      <c r="O25" s="3">
        <f>L19</f>
        <v>775.11511419821682</v>
      </c>
      <c r="P25" s="3">
        <f>L19</f>
        <v>775.11511419821682</v>
      </c>
    </row>
    <row r="26" spans="2:18" ht="13" customHeight="1">
      <c r="B26" s="2" t="s">
        <v>325</v>
      </c>
      <c r="C26" s="54"/>
      <c r="D26" s="54"/>
      <c r="E26" s="54">
        <f>+M16</f>
        <v>10.778790650406224</v>
      </c>
      <c r="F26" s="54">
        <f>+M17</f>
        <v>9.6060619277829069</v>
      </c>
      <c r="G26" s="54">
        <f>+N16</f>
        <v>10.448329246769928</v>
      </c>
      <c r="H26" s="54">
        <f>+N17</f>
        <v>10.091905037417508</v>
      </c>
      <c r="I26" s="54">
        <f>+O16</f>
        <v>21.655377429577687</v>
      </c>
      <c r="J26" s="54">
        <f>+O17</f>
        <v>20.126401326577607</v>
      </c>
      <c r="K26" s="54">
        <f>+P16</f>
        <v>21.903260120748143</v>
      </c>
      <c r="L26" s="54">
        <f>+P17</f>
        <v>18.0425627669227</v>
      </c>
      <c r="M26" s="54">
        <f>+Q16</f>
        <v>31.625434811107013</v>
      </c>
      <c r="N26" s="54">
        <f>+Q17</f>
        <v>30.796933752168727</v>
      </c>
      <c r="O26" s="54">
        <f>+R16</f>
        <v>34.199533481026378</v>
      </c>
      <c r="P26" s="54">
        <f>+R17</f>
        <v>23.672896454309779</v>
      </c>
    </row>
    <row r="27" spans="2:18" ht="13" customHeight="1" outlineLevel="1">
      <c r="B27" s="186" t="s">
        <v>269</v>
      </c>
      <c r="C27" s="299"/>
      <c r="D27" s="299"/>
      <c r="E27" s="299">
        <f>+E26*E25</f>
        <v>11204.088056529263</v>
      </c>
      <c r="F27" s="299">
        <f t="shared" ref="F27:H27" si="8">+F26*F25</f>
        <v>9985.0871221157595</v>
      </c>
      <c r="G27" s="299">
        <f t="shared" si="8"/>
        <v>13796.188888646479</v>
      </c>
      <c r="H27" s="299">
        <f t="shared" si="8"/>
        <v>13325.559029979588</v>
      </c>
      <c r="I27" s="299">
        <f>+I26*I25</f>
        <v>16773.104936680313</v>
      </c>
      <c r="J27" s="299">
        <f>+J26*J25</f>
        <v>15588.841272622945</v>
      </c>
      <c r="K27" s="299">
        <f>+K26*K25</f>
        <v>21774.170608075823</v>
      </c>
      <c r="L27" s="299">
        <f>+L26*L25</f>
        <v>17936.226741047925</v>
      </c>
      <c r="M27" s="299"/>
      <c r="N27" s="299"/>
      <c r="O27" s="299"/>
      <c r="P27" s="299"/>
    </row>
    <row r="28" spans="2:18" ht="13" customHeight="1" outlineLevel="1">
      <c r="K28" s="3"/>
      <c r="L28" s="3"/>
    </row>
    <row r="29" spans="2:18" ht="13" customHeight="1" outlineLevel="1">
      <c r="B29" s="8" t="s">
        <v>270</v>
      </c>
      <c r="C29" s="32"/>
      <c r="D29" s="32"/>
      <c r="E29" s="32">
        <f>-Restatements!$I$91</f>
        <v>-30.641963000000032</v>
      </c>
      <c r="F29" s="32">
        <f>-Restatements!$I$91</f>
        <v>-30.641963000000032</v>
      </c>
      <c r="G29" s="32">
        <f>-Restatements!$I$91</f>
        <v>-30.641963000000032</v>
      </c>
      <c r="H29" s="32">
        <f>-Restatements!$I$91</f>
        <v>-30.641963000000032</v>
      </c>
      <c r="I29" s="32">
        <f>-Restatements!$I$91</f>
        <v>-30.641963000000032</v>
      </c>
      <c r="J29" s="32">
        <f>-Restatements!$I$91</f>
        <v>-30.641963000000032</v>
      </c>
      <c r="K29" s="32">
        <f>-Restatements!$I$91</f>
        <v>-30.641963000000032</v>
      </c>
      <c r="L29" s="32">
        <f>-Restatements!$I$91</f>
        <v>-30.641963000000032</v>
      </c>
    </row>
    <row r="30" spans="2:18" ht="13" customHeight="1" outlineLevel="1">
      <c r="B30" s="8" t="s">
        <v>271</v>
      </c>
      <c r="C30" s="32"/>
      <c r="D30" s="32"/>
      <c r="E30" s="32">
        <f>+Restatements!$I$82</f>
        <v>19.824998000000001</v>
      </c>
      <c r="F30" s="32">
        <f>+Restatements!$I$82</f>
        <v>19.824998000000001</v>
      </c>
      <c r="G30" s="32">
        <f>+Restatements!$I$82</f>
        <v>19.824998000000001</v>
      </c>
      <c r="H30" s="32">
        <f>+Restatements!$I$82</f>
        <v>19.824998000000001</v>
      </c>
      <c r="I30" s="32">
        <f>+Restatements!$I$82</f>
        <v>19.824998000000001</v>
      </c>
      <c r="J30" s="32">
        <f>+Restatements!$I$82</f>
        <v>19.824998000000001</v>
      </c>
      <c r="K30" s="32">
        <f>+Restatements!$I$82</f>
        <v>19.824998000000001</v>
      </c>
      <c r="L30" s="32">
        <f>+Restatements!$I$82</f>
        <v>19.824998000000001</v>
      </c>
    </row>
    <row r="31" spans="2:18" ht="13" customHeight="1" outlineLevel="1">
      <c r="B31" s="8" t="s">
        <v>272</v>
      </c>
      <c r="C31" s="32"/>
      <c r="D31" s="32"/>
      <c r="E31" s="32">
        <f>-Restatements!$I$96</f>
        <v>-0.11600000000000001</v>
      </c>
      <c r="F31" s="32">
        <f>-Restatements!$I$96</f>
        <v>-0.11600000000000001</v>
      </c>
      <c r="G31" s="32">
        <f>-Restatements!$I$96</f>
        <v>-0.11600000000000001</v>
      </c>
      <c r="H31" s="32">
        <f>-Restatements!$I$96</f>
        <v>-0.11600000000000001</v>
      </c>
      <c r="I31" s="32">
        <f>-Restatements!$I$96</f>
        <v>-0.11600000000000001</v>
      </c>
      <c r="J31" s="32">
        <f>-Restatements!$I$96</f>
        <v>-0.11600000000000001</v>
      </c>
      <c r="K31" s="32">
        <f>-Restatements!$I$96</f>
        <v>-0.11600000000000001</v>
      </c>
      <c r="L31" s="32">
        <f>-Restatements!$I$96</f>
        <v>-0.11600000000000001</v>
      </c>
      <c r="M31" s="32">
        <f>-Restatements!$I$96</f>
        <v>-0.11600000000000001</v>
      </c>
      <c r="N31" s="32">
        <f>-Restatements!$I$96</f>
        <v>-0.11600000000000001</v>
      </c>
      <c r="O31" s="32">
        <f>-Restatements!$I$96</f>
        <v>-0.11600000000000001</v>
      </c>
      <c r="P31" s="32">
        <f>-Restatements!$I$96</f>
        <v>-0.11600000000000001</v>
      </c>
    </row>
    <row r="32" spans="2:18" ht="13" customHeight="1">
      <c r="B32" s="186" t="s">
        <v>273</v>
      </c>
      <c r="C32" s="299"/>
      <c r="D32" s="299"/>
      <c r="E32" s="299">
        <f t="shared" ref="E32:H32" si="9">+SUM(E27:E31)</f>
        <v>11193.155091529263</v>
      </c>
      <c r="F32" s="299">
        <f t="shared" si="9"/>
        <v>9974.1541571157595</v>
      </c>
      <c r="G32" s="299">
        <f t="shared" si="9"/>
        <v>13785.255923646479</v>
      </c>
      <c r="H32" s="299">
        <f t="shared" si="9"/>
        <v>13314.626064979588</v>
      </c>
      <c r="I32" s="299">
        <f>+SUM(I27:I31)</f>
        <v>16762.171971680309</v>
      </c>
      <c r="J32" s="299">
        <f>+SUM(J27:J31)</f>
        <v>15577.908307622945</v>
      </c>
      <c r="K32" s="299">
        <f>+SUM(K27:K31)</f>
        <v>21763.23764307582</v>
      </c>
      <c r="L32" s="299">
        <f>+SUM(L27:L31)</f>
        <v>17925.293776047922</v>
      </c>
      <c r="M32" s="299">
        <f>+M26*M25-M31</f>
        <v>19187.453130953585</v>
      </c>
      <c r="N32" s="299">
        <f t="shared" ref="N32" si="10">+N26*N25-N31</f>
        <v>18684.796670223503</v>
      </c>
      <c r="O32" s="299">
        <f>+O26*O25-O31</f>
        <v>26508.691299671504</v>
      </c>
      <c r="P32" s="299">
        <f>+P26*P25-P31</f>
        <v>18349.335838584888</v>
      </c>
    </row>
    <row r="33" spans="2:18" ht="13" customHeight="1">
      <c r="B33" s="8" t="s">
        <v>326</v>
      </c>
      <c r="E33" s="311">
        <f>AsReported!$I$84</f>
        <v>268.82</v>
      </c>
      <c r="F33" s="311">
        <f>AsReported!$I$84</f>
        <v>268.82</v>
      </c>
      <c r="G33" s="311">
        <f>AsReported!$I$84</f>
        <v>268.82</v>
      </c>
      <c r="H33" s="311">
        <f>AsReported!$I$84</f>
        <v>268.82</v>
      </c>
      <c r="I33" s="311">
        <f>AsReported!$I$84</f>
        <v>268.82</v>
      </c>
      <c r="J33" s="311">
        <f>AsReported!$I$84</f>
        <v>268.82</v>
      </c>
      <c r="K33" s="311">
        <f>AsReported!$I$84</f>
        <v>268.82</v>
      </c>
      <c r="L33" s="311">
        <f>AsReported!$I$84</f>
        <v>268.82</v>
      </c>
      <c r="M33" s="311">
        <f>AsReported!$I$84</f>
        <v>268.82</v>
      </c>
      <c r="N33" s="311">
        <f>AsReported!$I$84</f>
        <v>268.82</v>
      </c>
      <c r="O33" s="311">
        <f>AsReported!$I$84</f>
        <v>268.82</v>
      </c>
      <c r="P33" s="311">
        <f>AsReported!$I$84</f>
        <v>268.82</v>
      </c>
    </row>
    <row r="34" spans="2:18" ht="13" customHeight="1">
      <c r="B34" s="186" t="s">
        <v>275</v>
      </c>
      <c r="C34" s="299"/>
      <c r="D34" s="299"/>
      <c r="E34" s="299">
        <f>E32/E33</f>
        <v>41.638103904208258</v>
      </c>
      <c r="F34" s="299">
        <f t="shared" ref="F34:P34" si="11">F32/F33</f>
        <v>37.10346758840771</v>
      </c>
      <c r="G34" s="299">
        <f t="shared" si="11"/>
        <v>51.280618717530238</v>
      </c>
      <c r="H34" s="299">
        <f t="shared" si="11"/>
        <v>49.529893850828017</v>
      </c>
      <c r="I34" s="299">
        <f t="shared" si="11"/>
        <v>62.354631246485788</v>
      </c>
      <c r="J34" s="299">
        <f t="shared" si="11"/>
        <v>57.94921623250854</v>
      </c>
      <c r="K34" s="299">
        <f t="shared" si="11"/>
        <v>80.958402064860579</v>
      </c>
      <c r="L34" s="299">
        <f t="shared" si="11"/>
        <v>66.681399360344926</v>
      </c>
      <c r="M34" s="299">
        <f t="shared" si="11"/>
        <v>71.376583330680702</v>
      </c>
      <c r="N34" s="299">
        <f t="shared" si="11"/>
        <v>69.506720743335705</v>
      </c>
      <c r="O34" s="299">
        <f t="shared" si="11"/>
        <v>98.611306077194797</v>
      </c>
      <c r="P34" s="299">
        <f t="shared" si="11"/>
        <v>68.258819427813734</v>
      </c>
    </row>
    <row r="35" spans="2:18" ht="13" customHeight="1">
      <c r="M35" s="3"/>
      <c r="N35" s="3"/>
      <c r="O35" s="3"/>
      <c r="P35" s="3"/>
    </row>
    <row r="36" spans="2:18" ht="13" customHeight="1">
      <c r="B36" s="8" t="s">
        <v>139</v>
      </c>
      <c r="M36" s="32">
        <f>Restatements!$I$91</f>
        <v>30.641963000000032</v>
      </c>
      <c r="N36" s="32">
        <f>Restatements!$I$91</f>
        <v>30.641963000000032</v>
      </c>
      <c r="O36" s="32">
        <f>Restatements!$I$91</f>
        <v>30.641963000000032</v>
      </c>
      <c r="P36" s="32">
        <f>Restatements!$I$91</f>
        <v>30.641963000000032</v>
      </c>
    </row>
    <row r="37" spans="2:18" ht="13" customHeight="1">
      <c r="B37" s="8" t="s">
        <v>327</v>
      </c>
      <c r="M37" s="32">
        <f>-Restatements!$I$82</f>
        <v>-19.824998000000001</v>
      </c>
      <c r="N37" s="32">
        <f>-Restatements!$I$82</f>
        <v>-19.824998000000001</v>
      </c>
      <c r="O37" s="32">
        <f>-Restatements!$I$82</f>
        <v>-19.824998000000001</v>
      </c>
      <c r="P37" s="32">
        <f>-Restatements!$I$82</f>
        <v>-19.824998000000001</v>
      </c>
    </row>
    <row r="38" spans="2:18" ht="15" customHeight="1">
      <c r="B38" s="8" t="s">
        <v>142</v>
      </c>
      <c r="M38" s="32">
        <f>Restatements!$I$96</f>
        <v>0.11600000000000001</v>
      </c>
      <c r="N38" s="32">
        <f>Restatements!$I$96</f>
        <v>0.11600000000000001</v>
      </c>
      <c r="O38" s="32">
        <f>Restatements!$I$96</f>
        <v>0.11600000000000001</v>
      </c>
      <c r="P38" s="32">
        <f>Restatements!$I$96</f>
        <v>0.11600000000000001</v>
      </c>
    </row>
    <row r="39" spans="2:18" ht="13" customHeight="1">
      <c r="B39" s="186" t="s">
        <v>269</v>
      </c>
      <c r="C39" s="299"/>
      <c r="D39" s="299"/>
      <c r="E39" s="299"/>
      <c r="F39" s="299"/>
      <c r="G39" s="299"/>
      <c r="H39" s="299"/>
      <c r="I39" s="299"/>
      <c r="J39" s="299"/>
      <c r="K39" s="299"/>
      <c r="L39" s="299"/>
      <c r="M39" s="299">
        <f>SUM(M36:M38,M32)</f>
        <v>19198.386095953585</v>
      </c>
      <c r="N39" s="299">
        <f>+N32+SUM(N36:N38)</f>
        <v>18695.729635223503</v>
      </c>
      <c r="O39" s="299">
        <f>+O32+SUM(O36:O38)</f>
        <v>26519.624264671504</v>
      </c>
      <c r="P39" s="299">
        <f>+P32+SUM(P36:P38)</f>
        <v>18360.268803584888</v>
      </c>
    </row>
    <row r="40" spans="2:18" ht="13" customHeight="1">
      <c r="B40" s="8" t="s">
        <v>328</v>
      </c>
      <c r="E40" s="160">
        <f>+DCF!$I$33/E$25</f>
        <v>13.158503610665564</v>
      </c>
      <c r="F40" s="160">
        <f>+DCF!$I$33/F$25</f>
        <v>13.158503610665564</v>
      </c>
      <c r="G40" s="160">
        <f>+DCF!$I$33/G$25</f>
        <v>10.358591298792053</v>
      </c>
      <c r="H40" s="160">
        <f>+DCF!$I$33/H$25</f>
        <v>10.358591298792053</v>
      </c>
      <c r="I40" s="160">
        <f>+DCF!$I$33/I$25</f>
        <v>17.658966138515737</v>
      </c>
      <c r="J40" s="160">
        <f>+DCF!$I$33/J$25</f>
        <v>17.658966138515737</v>
      </c>
      <c r="K40" s="160">
        <f>+DCF!$I$33/K$25</f>
        <v>13.758786126105996</v>
      </c>
      <c r="L40" s="160">
        <f>+DCF!$I$33/L$25</f>
        <v>13.758786126105996</v>
      </c>
      <c r="M40" s="119">
        <f>+DCF!$I$37/M$25</f>
        <v>22.526744168169461</v>
      </c>
      <c r="N40" s="119">
        <f>+DCF!$I$37/N$25</f>
        <v>22.526744168169461</v>
      </c>
      <c r="O40" s="119">
        <f>+DCF!$I$37/O$25</f>
        <v>17.632359121411895</v>
      </c>
      <c r="P40" s="119">
        <f>+DCF!$I$37/P$25</f>
        <v>17.632359121411895</v>
      </c>
    </row>
    <row r="42" spans="2:18" ht="22.5" customHeight="1">
      <c r="B42" s="517" t="s">
        <v>329</v>
      </c>
      <c r="C42" s="513"/>
      <c r="D42" s="513"/>
      <c r="E42" s="514"/>
      <c r="F42" s="514"/>
      <c r="G42" s="514"/>
      <c r="H42" s="514"/>
      <c r="I42" s="514"/>
      <c r="J42" s="514"/>
      <c r="K42" s="514"/>
      <c r="L42" s="514"/>
      <c r="M42" s="515" t="s">
        <v>303</v>
      </c>
      <c r="N42" s="515" t="s">
        <v>304</v>
      </c>
      <c r="O42" s="515" t="s">
        <v>305</v>
      </c>
      <c r="P42" s="515" t="s">
        <v>306</v>
      </c>
      <c r="Q42" s="515" t="s">
        <v>307</v>
      </c>
      <c r="R42" s="515" t="s">
        <v>308</v>
      </c>
    </row>
    <row r="43" spans="2:18" ht="5" customHeight="1"/>
    <row r="44" spans="2:18" ht="13" customHeight="1">
      <c r="B44" s="10" t="s">
        <v>330</v>
      </c>
      <c r="M44" s="168">
        <f>+SLOPE(M10:M15,G10:G15)</f>
        <v>-3.80604441936256E-3</v>
      </c>
      <c r="N44" s="168">
        <f t="shared" ref="N44:R44" si="12">+SLOPE(N10:N15,H10:H15)</f>
        <v>-3.4531291844532943E-3</v>
      </c>
      <c r="O44" s="168">
        <f t="shared" si="12"/>
        <v>-2.3390140402997389E-2</v>
      </c>
      <c r="P44" s="168">
        <f t="shared" si="12"/>
        <v>-2.4605804644124138E-2</v>
      </c>
      <c r="Q44" s="168">
        <f t="shared" si="12"/>
        <v>-5.4865992598280143E-2</v>
      </c>
      <c r="R44" s="168">
        <f t="shared" si="12"/>
        <v>-6.4898413538821392E-2</v>
      </c>
    </row>
    <row r="45" spans="2:18" ht="13" customHeight="1">
      <c r="B45" s="10" t="s">
        <v>331</v>
      </c>
      <c r="M45" s="3">
        <f t="shared" ref="M45:R45" si="13">+INTERCEPT(M10:M15,G10:G15)</f>
        <v>12.639090011480159</v>
      </c>
      <c r="N45" s="3">
        <f t="shared" si="13"/>
        <v>12.179371396505751</v>
      </c>
      <c r="O45" s="3">
        <f t="shared" si="13"/>
        <v>28.843323509688137</v>
      </c>
      <c r="P45" s="3">
        <f t="shared" si="13"/>
        <v>29.570223799485191</v>
      </c>
      <c r="Q45" s="3">
        <f t="shared" si="13"/>
        <v>43.627645021943785</v>
      </c>
      <c r="R45" s="3">
        <f t="shared" si="13"/>
        <v>48.459012903776213</v>
      </c>
    </row>
    <row r="46" spans="2:18" ht="13" customHeight="1">
      <c r="B46" s="4" t="s">
        <v>332</v>
      </c>
      <c r="C46" s="36"/>
      <c r="D46" s="36"/>
      <c r="E46" s="36"/>
      <c r="F46" s="36"/>
      <c r="G46" s="36"/>
      <c r="H46" s="36"/>
      <c r="I46" s="36"/>
      <c r="J46" s="36"/>
      <c r="K46" s="36"/>
      <c r="L46" s="36"/>
      <c r="M46" s="169">
        <f>+M45+M44*E25</f>
        <v>8.682870969412317</v>
      </c>
      <c r="N46" s="169">
        <f>+N45+N44*H25</f>
        <v>7.6197885808758556</v>
      </c>
      <c r="O46" s="169">
        <f>+O45+O44*I25</f>
        <v>10.726563331345123</v>
      </c>
      <c r="P46" s="169">
        <f>+P45+P44*K25</f>
        <v>5.1094364410486506</v>
      </c>
      <c r="Q46" s="169">
        <f>+Q45+Q44*M25</f>
        <v>10.3401249199947</v>
      </c>
      <c r="R46" s="169">
        <f>+R45+R44*O25</f>
        <v>-1.8447283176504286</v>
      </c>
    </row>
    <row r="47" spans="2:18" ht="13" customHeight="1">
      <c r="B47" s="10" t="s">
        <v>333</v>
      </c>
      <c r="C47" s="170"/>
      <c r="D47" s="170"/>
      <c r="E47" s="170"/>
      <c r="F47" s="170"/>
      <c r="G47" s="170"/>
      <c r="H47" s="170"/>
      <c r="I47" s="170"/>
      <c r="J47" s="170"/>
      <c r="K47" s="170"/>
      <c r="L47" s="170"/>
      <c r="M47" s="66">
        <f t="shared" ref="M47:R47" si="14">+RSQ(M10:M15,G10:G15)</f>
        <v>0.11689414124586761</v>
      </c>
      <c r="N47" s="66">
        <f t="shared" si="14"/>
        <v>0.1370055722561894</v>
      </c>
      <c r="O47" s="66">
        <f t="shared" si="14"/>
        <v>0.48718405791395741</v>
      </c>
      <c r="P47" s="66">
        <f t="shared" si="14"/>
        <v>0.43865434808957865</v>
      </c>
      <c r="Q47" s="66">
        <f t="shared" si="14"/>
        <v>0.57721566839925298</v>
      </c>
      <c r="R47" s="66">
        <f t="shared" si="14"/>
        <v>0.33390748943881887</v>
      </c>
    </row>
  </sheetData>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S55"/>
  <sheetViews>
    <sheetView showGridLines="0" zoomScale="108" zoomScaleNormal="80" workbookViewId="0">
      <selection activeCell="H50" sqref="H50"/>
    </sheetView>
  </sheetViews>
  <sheetFormatPr baseColWidth="10" defaultColWidth="10.75" defaultRowHeight="13" customHeight="1"/>
  <cols>
    <col min="1" max="1" width="16.75" customWidth="1"/>
    <col min="2" max="2" width="13.5" customWidth="1"/>
    <col min="3" max="3" width="12.75" customWidth="1"/>
    <col min="4" max="4" width="14.75" customWidth="1"/>
    <col min="5" max="5" width="15.5" customWidth="1"/>
    <col min="6" max="6" width="13.25" customWidth="1"/>
  </cols>
  <sheetData>
    <row r="1" spans="1:17" ht="13" customHeight="1">
      <c r="A1" s="5"/>
      <c r="B1" s="5"/>
    </row>
    <row r="2" spans="1:17" ht="20" customHeight="1">
      <c r="A2" s="491"/>
      <c r="B2" s="491" t="s">
        <v>334</v>
      </c>
      <c r="C2" s="491"/>
      <c r="D2" s="491"/>
      <c r="E2" s="491"/>
      <c r="F2" s="491"/>
      <c r="G2" s="491"/>
      <c r="H2" s="491"/>
      <c r="I2" s="491"/>
      <c r="J2" s="491"/>
      <c r="K2" s="491"/>
      <c r="L2" s="491"/>
      <c r="M2" s="491"/>
      <c r="N2" s="491"/>
      <c r="O2" s="491"/>
      <c r="P2" s="491"/>
      <c r="Q2" s="491"/>
    </row>
    <row r="3" spans="1:17" ht="13" customHeight="1">
      <c r="B3" s="8"/>
      <c r="C3" s="8"/>
      <c r="D3" s="8"/>
      <c r="E3" s="8"/>
      <c r="F3" s="8"/>
      <c r="G3" s="8"/>
      <c r="H3" s="8"/>
      <c r="I3" s="8"/>
      <c r="J3" s="8"/>
      <c r="K3" s="8"/>
      <c r="L3" s="8"/>
      <c r="M3" s="8"/>
      <c r="N3" s="8"/>
    </row>
    <row r="4" spans="1:17" ht="5" customHeight="1"/>
    <row r="5" spans="1:17" ht="15" customHeight="1">
      <c r="B5" s="509" t="s">
        <v>273</v>
      </c>
      <c r="C5" s="509"/>
      <c r="D5" s="509"/>
      <c r="E5" s="509"/>
      <c r="F5" s="509"/>
      <c r="G5" s="509"/>
      <c r="H5" s="509"/>
      <c r="I5" s="509"/>
      <c r="J5" s="509"/>
      <c r="K5" s="509"/>
      <c r="L5" s="509"/>
      <c r="M5" s="509"/>
      <c r="N5" s="509"/>
      <c r="O5" s="509"/>
      <c r="P5" s="509"/>
      <c r="Q5" s="509"/>
    </row>
    <row r="6" spans="1:17" ht="5" customHeight="1"/>
    <row r="11" spans="1:17" ht="13" customHeight="1">
      <c r="N11" s="180"/>
    </row>
    <row r="14" spans="1:17" ht="13" customHeight="1">
      <c r="B14" s="8"/>
      <c r="C14" s="17"/>
    </row>
    <row r="20" spans="2:19" ht="13" customHeight="1">
      <c r="B20" s="8"/>
      <c r="C20" s="17"/>
    </row>
    <row r="21" spans="2:19" ht="13" customHeight="1">
      <c r="B21" s="8"/>
      <c r="C21" s="17"/>
    </row>
    <row r="22" spans="2:19" ht="13" customHeight="1">
      <c r="B22" s="8"/>
      <c r="C22" s="17"/>
    </row>
    <row r="23" spans="2:19" ht="13" customHeight="1">
      <c r="B23" s="8"/>
      <c r="C23" s="17"/>
    </row>
    <row r="24" spans="2:19" ht="13" customHeight="1">
      <c r="B24" s="8"/>
      <c r="C24" s="17"/>
    </row>
    <row r="26" spans="2:19" ht="13" customHeight="1">
      <c r="S26" s="423"/>
    </row>
    <row r="28" spans="2:19" ht="13" customHeight="1">
      <c r="D28" s="3"/>
      <c r="E28" s="3"/>
      <c r="F28" s="3"/>
      <c r="G28" s="3"/>
      <c r="H28" s="3"/>
      <c r="I28" s="3"/>
    </row>
    <row r="29" spans="2:19" ht="13" customHeight="1">
      <c r="B29" s="8"/>
      <c r="C29" s="17"/>
      <c r="D29" s="32"/>
      <c r="E29" s="32"/>
      <c r="F29" s="32"/>
      <c r="G29" s="32"/>
      <c r="H29" s="32"/>
      <c r="I29" s="32"/>
    </row>
    <row r="35" spans="1:11" ht="13" customHeight="1">
      <c r="B35" t="s">
        <v>335</v>
      </c>
    </row>
    <row r="36" spans="1:11" ht="35.25" customHeight="1">
      <c r="B36" s="245" t="s">
        <v>316</v>
      </c>
      <c r="C36" s="246" t="s">
        <v>315</v>
      </c>
      <c r="D36" s="246" t="s">
        <v>314</v>
      </c>
      <c r="E36" s="246" t="s">
        <v>313</v>
      </c>
      <c r="F36" s="246" t="s">
        <v>312</v>
      </c>
      <c r="G36" s="246" t="s">
        <v>311</v>
      </c>
      <c r="H36" s="247" t="s">
        <v>336</v>
      </c>
      <c r="K36" s="254"/>
    </row>
    <row r="37" spans="1:11" ht="13" customHeight="1">
      <c r="A37" s="522" t="s">
        <v>337</v>
      </c>
      <c r="B37" s="248">
        <f>MIN(TradingMultiples!O32:P32)</f>
        <v>18349.335838584888</v>
      </c>
      <c r="C37" s="249">
        <f>MIN(TradingMultiples!M32:N32)</f>
        <v>18684.796670223503</v>
      </c>
      <c r="D37" s="249">
        <f>MIN(TradingMultiples!K32:L32)</f>
        <v>17925.293776047922</v>
      </c>
      <c r="E37" s="249">
        <f>MIN(TradingMultiples!I32:J32)</f>
        <v>15577.908307622945</v>
      </c>
      <c r="F37" s="249">
        <f>MIN(TradingMultiples!G32:H32)</f>
        <v>13314.626064979588</v>
      </c>
      <c r="G37" s="249">
        <f>MIN(TradingMultiples!E32:F32)</f>
        <v>9974.1541571157595</v>
      </c>
      <c r="H37" s="250">
        <f>DCF!K55</f>
        <v>12002.063600768692</v>
      </c>
      <c r="K37" s="249"/>
    </row>
    <row r="38" spans="1:11" ht="13" customHeight="1">
      <c r="A38" s="522" t="s">
        <v>338</v>
      </c>
      <c r="B38" s="248">
        <f>MAX(TradingMultiples!O32:P32)</f>
        <v>26508.691299671504</v>
      </c>
      <c r="C38" s="249">
        <f>MAX(TradingMultiples!M32:N32)</f>
        <v>19187.453130953585</v>
      </c>
      <c r="D38" s="249">
        <f>MAX(TradingMultiples!K32:L32)</f>
        <v>21763.23764307582</v>
      </c>
      <c r="E38" s="249">
        <f>MAX(TradingMultiples!I32:J32)</f>
        <v>16762.171971680309</v>
      </c>
      <c r="F38" s="249">
        <f>MAX(TradingMultiples!G32:H32)</f>
        <v>13785.255923646479</v>
      </c>
      <c r="G38" s="249">
        <f>MAX(TradingMultiples!E32:F32)</f>
        <v>11193.155091529263</v>
      </c>
      <c r="H38" s="250">
        <f>DCF!K56</f>
        <v>16049.603859604416</v>
      </c>
      <c r="K38" s="249"/>
    </row>
    <row r="39" spans="1:11" ht="13" customHeight="1">
      <c r="A39" s="522" t="s">
        <v>339</v>
      </c>
      <c r="B39" s="251">
        <f>B38-B37</f>
        <v>8159.3554610866158</v>
      </c>
      <c r="C39" s="252">
        <f t="shared" ref="C39:G39" si="0">C38-C37</f>
        <v>502.65646073008247</v>
      </c>
      <c r="D39" s="252">
        <f t="shared" si="0"/>
        <v>3837.9438670278978</v>
      </c>
      <c r="E39" s="252">
        <f t="shared" si="0"/>
        <v>1184.2636640573637</v>
      </c>
      <c r="F39" s="252">
        <f t="shared" si="0"/>
        <v>470.62985866689087</v>
      </c>
      <c r="G39" s="252">
        <f t="shared" si="0"/>
        <v>1219.0009344135033</v>
      </c>
      <c r="H39" s="253">
        <f>H38-H37</f>
        <v>4047.5402588357247</v>
      </c>
      <c r="K39" s="249"/>
    </row>
    <row r="40" spans="1:11" ht="13" customHeight="1">
      <c r="A40" s="180"/>
      <c r="B40" s="249"/>
      <c r="C40" s="249"/>
      <c r="D40" s="249"/>
      <c r="E40" s="249"/>
      <c r="F40" s="249"/>
      <c r="G40" s="249"/>
      <c r="H40" s="249"/>
      <c r="K40" s="249"/>
    </row>
    <row r="43" spans="1:11" ht="28.5" customHeight="1"/>
    <row r="45" spans="1:11" ht="13" customHeight="1">
      <c r="C45" s="527" t="s">
        <v>340</v>
      </c>
      <c r="D45" s="527"/>
      <c r="E45" s="527"/>
    </row>
    <row r="46" spans="1:11" ht="36">
      <c r="C46" s="518" t="s">
        <v>341</v>
      </c>
      <c r="D46" s="519" t="s">
        <v>342</v>
      </c>
      <c r="E46" s="519" t="s">
        <v>343</v>
      </c>
    </row>
    <row r="48" spans="1:11" ht="13" customHeight="1">
      <c r="B48" s="170" t="s">
        <v>344</v>
      </c>
      <c r="C48" s="470">
        <f>DCF!I39</f>
        <v>50.841113213217582</v>
      </c>
      <c r="D48" s="470">
        <v>0.4</v>
      </c>
      <c r="E48" s="465">
        <f>C48*AsReported!$I$84</f>
        <v>13667.10805397715</v>
      </c>
    </row>
    <row r="49" spans="2:5" ht="13" customHeight="1">
      <c r="B49" s="170" t="s">
        <v>345</v>
      </c>
      <c r="C49" s="470">
        <f>TradingMultiples!H34</f>
        <v>49.529893850828017</v>
      </c>
      <c r="D49" s="470">
        <v>0.2</v>
      </c>
      <c r="E49" s="465">
        <f>C49*AsReported!$I$84</f>
        <v>13314.626064979588</v>
      </c>
    </row>
    <row r="50" spans="2:5" ht="13" customHeight="1">
      <c r="B50" s="170" t="s">
        <v>346</v>
      </c>
      <c r="C50" s="470">
        <f>TradingMultiples!L34</f>
        <v>66.681399360344926</v>
      </c>
      <c r="D50" s="470">
        <v>0.2</v>
      </c>
      <c r="E50" s="465">
        <f>C50*AsReported!$I$84</f>
        <v>17925.293776047922</v>
      </c>
    </row>
    <row r="51" spans="2:5" ht="13" customHeight="1">
      <c r="B51" s="170" t="s">
        <v>347</v>
      </c>
      <c r="C51" s="470">
        <f>TradingMultiples!F34</f>
        <v>37.10346758840771</v>
      </c>
      <c r="D51" s="470">
        <v>0.1</v>
      </c>
      <c r="E51" s="465">
        <f>C51*AsReported!$I$84</f>
        <v>9974.1541571157613</v>
      </c>
    </row>
    <row r="52" spans="2:5" ht="13" customHeight="1">
      <c r="B52" s="170" t="s">
        <v>348</v>
      </c>
      <c r="C52" s="470">
        <f>+TradingMultiples!J34</f>
        <v>57.94921623250854</v>
      </c>
      <c r="D52" s="470">
        <v>0.1</v>
      </c>
      <c r="E52" s="465">
        <f>C52*AsReported!$I$84</f>
        <v>15577.908307622945</v>
      </c>
    </row>
    <row r="53" spans="2:5" ht="13" customHeight="1">
      <c r="B53" s="47"/>
      <c r="C53" s="469"/>
      <c r="D53" s="469"/>
      <c r="E53" s="466"/>
    </row>
    <row r="54" spans="2:5" ht="13" customHeight="1">
      <c r="B54" s="471" t="s">
        <v>349</v>
      </c>
      <c r="C54" s="472"/>
      <c r="D54" s="472">
        <f>SUMPRODUCT(D48:D52,C48:C52)</f>
        <v>53.083972309613245</v>
      </c>
      <c r="E54" s="473">
        <f>SUMPRODUCT(E48:E52,D48:D52)</f>
        <v>14270.033436270232</v>
      </c>
    </row>
    <row r="55" spans="2:5" ht="13" customHeight="1">
      <c r="B55" s="197" t="s">
        <v>276</v>
      </c>
      <c r="C55" s="467"/>
      <c r="D55" s="468">
        <f>D54/AsReported!I85-1</f>
        <v>7.2403481002287773E-2</v>
      </c>
      <c r="E55" s="468">
        <f>E54/AsReported!I86-1</f>
        <v>7.2403481002287773E-2</v>
      </c>
    </row>
  </sheetData>
  <mergeCells count="1">
    <mergeCell ref="C45:E45"/>
  </mergeCells>
  <conditionalFormatting sqref="D55:E55">
    <cfRule type="cellIs" dxfId="11" priority="1" operator="lessThan">
      <formula>0</formula>
    </cfRule>
    <cfRule type="cellIs" dxfId="10" priority="2" operator="greaterThan">
      <formula>0</formula>
    </cfRule>
  </conditionalFormatting>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5C3A0-9833-4737-AFC6-1397EACF67D7}">
  <sheetPr>
    <tabColor rgb="FFFFFF00"/>
  </sheetPr>
  <dimension ref="A1:S55"/>
  <sheetViews>
    <sheetView showGridLines="0" topLeftCell="A11" zoomScaleNormal="100" workbookViewId="0">
      <selection activeCell="E51" sqref="E51"/>
    </sheetView>
  </sheetViews>
  <sheetFormatPr baseColWidth="10" defaultColWidth="10.75" defaultRowHeight="13" customHeight="1"/>
  <cols>
    <col min="1" max="1" width="16.75" customWidth="1"/>
  </cols>
  <sheetData>
    <row r="1" spans="1:17" ht="13" customHeight="1">
      <c r="A1" s="5"/>
      <c r="B1" s="5"/>
    </row>
    <row r="2" spans="1:17" ht="20" customHeight="1">
      <c r="A2" s="491"/>
      <c r="B2" s="491" t="s">
        <v>334</v>
      </c>
      <c r="C2" s="491"/>
      <c r="D2" s="491"/>
      <c r="E2" s="491"/>
      <c r="F2" s="491"/>
      <c r="G2" s="491"/>
      <c r="H2" s="491"/>
      <c r="I2" s="491"/>
      <c r="J2" s="491"/>
      <c r="K2" s="491"/>
      <c r="L2" s="491"/>
      <c r="M2" s="491"/>
      <c r="N2" s="491"/>
      <c r="O2" s="491"/>
      <c r="P2" s="491"/>
      <c r="Q2" s="491"/>
    </row>
    <row r="3" spans="1:17" ht="13" customHeight="1">
      <c r="B3" s="8"/>
      <c r="C3" s="8"/>
      <c r="D3" s="8"/>
      <c r="E3" s="8"/>
      <c r="F3" s="8"/>
      <c r="G3" s="8"/>
      <c r="H3" s="8"/>
      <c r="I3" s="8"/>
      <c r="J3" s="8"/>
      <c r="K3" s="8"/>
      <c r="L3" s="8"/>
      <c r="M3" s="8"/>
      <c r="N3" s="8"/>
    </row>
    <row r="4" spans="1:17" ht="5" customHeight="1"/>
    <row r="5" spans="1:17" ht="15" customHeight="1">
      <c r="B5" s="487" t="s">
        <v>273</v>
      </c>
      <c r="C5" s="487"/>
      <c r="D5" s="487"/>
      <c r="E5" s="487"/>
      <c r="F5" s="487"/>
      <c r="G5" s="487"/>
      <c r="H5" s="487"/>
      <c r="I5" s="487"/>
      <c r="J5" s="487"/>
      <c r="K5" s="487"/>
      <c r="L5" s="487"/>
      <c r="M5" s="487"/>
      <c r="N5" s="487"/>
      <c r="O5" s="487"/>
      <c r="P5" s="487"/>
      <c r="Q5" s="487"/>
    </row>
    <row r="6" spans="1:17" ht="5" customHeight="1"/>
    <row r="11" spans="1:17" ht="13" customHeight="1">
      <c r="N11" s="180"/>
    </row>
    <row r="14" spans="1:17" ht="13" customHeight="1">
      <c r="B14" s="8"/>
      <c r="C14" s="17"/>
    </row>
    <row r="20" spans="2:19" ht="13" customHeight="1">
      <c r="B20" s="8"/>
      <c r="C20" s="17"/>
    </row>
    <row r="21" spans="2:19" ht="13" customHeight="1">
      <c r="B21" s="8"/>
      <c r="C21" s="17"/>
    </row>
    <row r="22" spans="2:19" ht="13" customHeight="1">
      <c r="B22" s="8"/>
      <c r="C22" s="17"/>
    </row>
    <row r="23" spans="2:19" ht="13" customHeight="1">
      <c r="B23" s="8"/>
      <c r="C23" s="17"/>
    </row>
    <row r="24" spans="2:19" ht="13" customHeight="1">
      <c r="B24" s="8"/>
      <c r="C24" s="17"/>
    </row>
    <row r="27" spans="2:19" ht="13" customHeight="1">
      <c r="S27" s="423"/>
    </row>
    <row r="28" spans="2:19" ht="13" customHeight="1">
      <c r="D28" s="3"/>
      <c r="E28" s="3"/>
      <c r="F28" s="3"/>
      <c r="G28" s="3"/>
      <c r="H28" s="3"/>
      <c r="I28" s="3"/>
    </row>
    <row r="29" spans="2:19" ht="13" customHeight="1">
      <c r="B29" s="8"/>
      <c r="C29" s="17"/>
      <c r="D29" s="32"/>
      <c r="E29" s="32"/>
      <c r="F29" s="32"/>
      <c r="G29" s="32"/>
      <c r="H29" s="32"/>
      <c r="I29" s="32"/>
    </row>
    <row r="35" spans="1:11" ht="13" customHeight="1">
      <c r="B35" t="s">
        <v>335</v>
      </c>
    </row>
    <row r="36" spans="1:11" ht="35.25" customHeight="1">
      <c r="B36" s="245" t="s">
        <v>316</v>
      </c>
      <c r="C36" s="246" t="s">
        <v>315</v>
      </c>
      <c r="D36" s="246" t="s">
        <v>314</v>
      </c>
      <c r="E36" s="246" t="s">
        <v>313</v>
      </c>
      <c r="F36" s="246" t="s">
        <v>312</v>
      </c>
      <c r="G36" s="246" t="s">
        <v>311</v>
      </c>
      <c r="H36" s="247" t="s">
        <v>336</v>
      </c>
      <c r="K36" s="254"/>
    </row>
    <row r="37" spans="1:11" ht="13" customHeight="1">
      <c r="A37" s="180" t="s">
        <v>337</v>
      </c>
      <c r="B37" s="248">
        <f>MIN(TradingMultiples!O32:P32)</f>
        <v>18349.335838584888</v>
      </c>
      <c r="C37" s="249">
        <f>MIN(TradingMultiples!M32:N32)</f>
        <v>18684.796670223503</v>
      </c>
      <c r="D37" s="249">
        <f>MIN(TradingMultiples!K32:L32)</f>
        <v>17925.293776047922</v>
      </c>
      <c r="E37" s="249">
        <f>MIN(TradingMultiples!I32:J32)</f>
        <v>15577.908307622945</v>
      </c>
      <c r="F37" s="249">
        <f>MIN(TradingMultiples!G32:H32)</f>
        <v>13314.626064979588</v>
      </c>
      <c r="G37" s="249">
        <f>MIN(TradingMultiples!E32:F32)</f>
        <v>9974.1541571157595</v>
      </c>
      <c r="H37" s="250">
        <f>DCF!K55</f>
        <v>12002.063600768692</v>
      </c>
      <c r="K37" s="249"/>
    </row>
    <row r="38" spans="1:11" ht="13" customHeight="1">
      <c r="A38" s="180" t="s">
        <v>338</v>
      </c>
      <c r="B38" s="248">
        <f>MAX(TradingMultiples!O32:P32)</f>
        <v>26508.691299671504</v>
      </c>
      <c r="C38" s="249">
        <f>MAX(TradingMultiples!M32:N32)</f>
        <v>19187.453130953585</v>
      </c>
      <c r="D38" s="249">
        <f>MAX(TradingMultiples!K32:L32)</f>
        <v>21763.23764307582</v>
      </c>
      <c r="E38" s="249">
        <f>MAX(TradingMultiples!I32:J32)</f>
        <v>16762.171971680309</v>
      </c>
      <c r="F38" s="249">
        <f>MAX(TradingMultiples!G32:H32)</f>
        <v>13785.255923646479</v>
      </c>
      <c r="G38" s="249">
        <f>MAX(TradingMultiples!E32:F32)</f>
        <v>11193.155091529263</v>
      </c>
      <c r="H38" s="250">
        <f>DCF!K56</f>
        <v>16049.603859604416</v>
      </c>
      <c r="K38" s="249"/>
    </row>
    <row r="39" spans="1:11" ht="13" customHeight="1">
      <c r="A39" s="180" t="s">
        <v>339</v>
      </c>
      <c r="B39" s="251">
        <f>B38-B37</f>
        <v>8159.3554610866158</v>
      </c>
      <c r="C39" s="252">
        <f t="shared" ref="C39:G39" si="0">C38-C37</f>
        <v>502.65646073008247</v>
      </c>
      <c r="D39" s="252">
        <f t="shared" si="0"/>
        <v>3837.9438670278978</v>
      </c>
      <c r="E39" s="252">
        <f t="shared" si="0"/>
        <v>1184.2636640573637</v>
      </c>
      <c r="F39" s="252">
        <f t="shared" si="0"/>
        <v>470.62985866689087</v>
      </c>
      <c r="G39" s="252">
        <f t="shared" si="0"/>
        <v>1219.0009344135033</v>
      </c>
      <c r="H39" s="253">
        <f>H38-H37</f>
        <v>4047.5402588357247</v>
      </c>
      <c r="K39" s="249"/>
    </row>
    <row r="40" spans="1:11" ht="13" customHeight="1">
      <c r="A40" s="180"/>
      <c r="B40" s="249"/>
      <c r="C40" s="249"/>
      <c r="D40" s="249"/>
      <c r="E40" s="249"/>
      <c r="F40" s="249"/>
      <c r="G40" s="249"/>
      <c r="H40" s="249"/>
      <c r="K40" s="249"/>
    </row>
    <row r="43" spans="1:11" ht="28.5" customHeight="1"/>
    <row r="45" spans="1:11" ht="13" customHeight="1">
      <c r="B45" s="528" t="s">
        <v>340</v>
      </c>
      <c r="C45" s="528"/>
      <c r="D45" s="528"/>
      <c r="E45" s="528"/>
    </row>
    <row r="46" spans="1:11" ht="13" customHeight="1">
      <c r="B46" s="420" t="s">
        <v>310</v>
      </c>
      <c r="C46" s="420" t="s">
        <v>350</v>
      </c>
      <c r="D46" s="420" t="s">
        <v>342</v>
      </c>
      <c r="E46" s="420" t="s">
        <v>335</v>
      </c>
    </row>
    <row r="47" spans="1:11" ht="13" customHeight="1">
      <c r="B47" t="s">
        <v>344</v>
      </c>
      <c r="C47" s="427">
        <f>DCF!I39</f>
        <v>50.841113213217582</v>
      </c>
      <c r="D47" s="429">
        <v>0.4</v>
      </c>
      <c r="E47" s="425">
        <f>C47*AsReported!$I$84</f>
        <v>13667.10805397715</v>
      </c>
    </row>
    <row r="48" spans="1:11" ht="13" customHeight="1">
      <c r="B48" t="s">
        <v>345</v>
      </c>
      <c r="C48" s="427">
        <f>TradingMultiples!H34</f>
        <v>49.529893850828017</v>
      </c>
      <c r="D48" s="429">
        <v>0.3</v>
      </c>
      <c r="E48" s="425">
        <f>C48*AsReported!$I$84</f>
        <v>13314.626064979588</v>
      </c>
    </row>
    <row r="49" spans="2:5" ht="13" customHeight="1">
      <c r="B49" t="s">
        <v>346</v>
      </c>
      <c r="C49" s="427">
        <f>TradingMultiples!L34</f>
        <v>66.681399360344926</v>
      </c>
      <c r="D49" s="431">
        <v>0.3</v>
      </c>
      <c r="E49" s="425">
        <f>C49*AsReported!$I$84</f>
        <v>17925.293776047922</v>
      </c>
    </row>
    <row r="50" spans="2:5" ht="13" customHeight="1">
      <c r="B50" s="47"/>
      <c r="C50" s="428"/>
      <c r="D50" s="430"/>
      <c r="E50" s="426"/>
    </row>
    <row r="51" spans="2:5" ht="13" customHeight="1">
      <c r="B51" s="170" t="s">
        <v>349</v>
      </c>
      <c r="C51" s="170"/>
      <c r="D51" s="421">
        <f>SUMPRODUCT(D47:D49,C47:C49)</f>
        <v>55.199833248638917</v>
      </c>
      <c r="E51" s="424">
        <f>SUMPRODUCT(E47:E49,D47:D49)</f>
        <v>14838.819173899112</v>
      </c>
    </row>
    <row r="52" spans="2:5" ht="13" customHeight="1">
      <c r="B52" s="197" t="s">
        <v>276</v>
      </c>
      <c r="C52" s="197"/>
      <c r="D52" s="422">
        <f>D51/AsReported!I85-1</f>
        <v>0.11514814643714977</v>
      </c>
      <c r="E52" s="422">
        <v>0.12187559890276711</v>
      </c>
    </row>
    <row r="54" spans="2:5" ht="13" customHeight="1">
      <c r="B54" s="170"/>
    </row>
    <row r="55" spans="2:5" ht="13" customHeight="1">
      <c r="D55" s="311"/>
    </row>
  </sheetData>
  <mergeCells count="1">
    <mergeCell ref="B45:E45"/>
  </mergeCells>
  <conditionalFormatting sqref="D52:E52">
    <cfRule type="cellIs" dxfId="9" priority="1" operator="lessThan">
      <formula>0</formula>
    </cfRule>
    <cfRule type="cellIs" dxfId="8" priority="2" operator="greaterThan">
      <formula>0</formula>
    </cfRule>
  </conditionalFormatting>
  <pageMargins left="0.7" right="0.7" top="0.75" bottom="0.75" header="0.3" footer="0.3"/>
  <pageSetup paperSize="9"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7A615-2772-4C92-B210-ED982A7F0F2E}">
  <sheetPr>
    <tabColor rgb="FFFFFF00"/>
  </sheetPr>
  <dimension ref="C3:N44"/>
  <sheetViews>
    <sheetView showGridLines="0" workbookViewId="0">
      <selection activeCell="H18" sqref="H18:P45"/>
    </sheetView>
  </sheetViews>
  <sheetFormatPr baseColWidth="10" defaultColWidth="10.75" defaultRowHeight="14.5" customHeight="1"/>
  <cols>
    <col min="3" max="3" width="13.25" customWidth="1"/>
    <col min="4" max="4" width="14" customWidth="1"/>
    <col min="8" max="8" width="45" customWidth="1"/>
    <col min="9" max="9" width="12.75" customWidth="1"/>
    <col min="10" max="10" width="13.25" customWidth="1"/>
  </cols>
  <sheetData>
    <row r="3" spans="3:6" ht="14.5" customHeight="1">
      <c r="C3" s="440" t="s">
        <v>351</v>
      </c>
      <c r="D3" s="441"/>
      <c r="E3" s="441" t="s">
        <v>352</v>
      </c>
      <c r="F3" s="441" t="s">
        <v>353</v>
      </c>
    </row>
    <row r="4" spans="3:6" ht="5.25" customHeight="1">
      <c r="C4" s="442"/>
      <c r="D4" s="443"/>
      <c r="E4" s="443"/>
      <c r="F4" s="443"/>
    </row>
    <row r="5" spans="3:6" ht="14.5" customHeight="1">
      <c r="C5" s="442" t="s">
        <v>354</v>
      </c>
      <c r="D5" s="443"/>
      <c r="E5" s="444">
        <f>Restatements!I11</f>
        <v>0.27212064038454686</v>
      </c>
      <c r="F5" s="444">
        <f>Restatements!H11</f>
        <v>0.42050136080163436</v>
      </c>
    </row>
    <row r="6" spans="3:6" ht="14.5" customHeight="1">
      <c r="C6" s="442" t="s">
        <v>355</v>
      </c>
      <c r="D6" s="445"/>
      <c r="E6" s="444">
        <f>SUM(Restatements!I19:I20)/SUM(Restatements!I126:I127)</f>
        <v>0.59838262221149641</v>
      </c>
      <c r="F6" s="444">
        <f>SUM(Restatements!H19:H20)/SUM(Restatements!H126:H127)</f>
        <v>0.15480490775238531</v>
      </c>
    </row>
    <row r="7" spans="3:6" ht="14.5" customHeight="1">
      <c r="C7" s="442" t="s">
        <v>356</v>
      </c>
      <c r="D7" s="443"/>
      <c r="E7" s="446">
        <f>Restatements!I107</f>
        <v>412.21598208305653</v>
      </c>
      <c r="F7" s="446">
        <f>Restatements!H107</f>
        <v>448.6901493769131</v>
      </c>
    </row>
    <row r="8" spans="3:6" ht="14.5" customHeight="1">
      <c r="C8" s="442" t="s">
        <v>357</v>
      </c>
      <c r="D8" s="443"/>
      <c r="E8" s="446">
        <f>-Restatements!I106</f>
        <v>393.57562952709048</v>
      </c>
      <c r="F8" s="446">
        <f>-Restatements!H106</f>
        <v>413.38493817809427</v>
      </c>
    </row>
    <row r="9" spans="3:6" ht="14.5" customHeight="1">
      <c r="C9" s="442"/>
      <c r="D9" s="443"/>
      <c r="E9" s="443"/>
      <c r="F9" s="443"/>
    </row>
    <row r="10" spans="3:6" ht="14.5" customHeight="1">
      <c r="C10" s="442"/>
      <c r="D10" s="442"/>
      <c r="E10" s="442"/>
      <c r="F10" s="442"/>
    </row>
    <row r="11" spans="3:6" ht="14.5" customHeight="1">
      <c r="C11" s="440" t="s">
        <v>358</v>
      </c>
      <c r="D11" s="441"/>
      <c r="E11" s="441" t="s">
        <v>352</v>
      </c>
      <c r="F11" s="441" t="s">
        <v>353</v>
      </c>
    </row>
    <row r="12" spans="3:6" ht="5.25" customHeight="1">
      <c r="C12" s="442"/>
      <c r="D12" s="443"/>
      <c r="E12" s="443"/>
      <c r="F12" s="443"/>
    </row>
    <row r="13" spans="3:6" ht="14.5" customHeight="1">
      <c r="C13" s="442" t="s">
        <v>359</v>
      </c>
      <c r="D13" s="445"/>
      <c r="E13" s="447">
        <f>+Restatements!I31/Restatements!I97</f>
        <v>0.20904413514107786</v>
      </c>
      <c r="F13" s="447">
        <f>+Restatements!H31/Restatements!H97</f>
        <v>0.15747828617184789</v>
      </c>
    </row>
    <row r="14" spans="3:6" ht="14.5" customHeight="1">
      <c r="C14" s="442" t="s">
        <v>360</v>
      </c>
      <c r="D14" s="445"/>
      <c r="E14" s="447">
        <f>DCF!I74</f>
        <v>0.34219850809783386</v>
      </c>
      <c r="F14" s="447">
        <f>DCF!H74</f>
        <v>0.38796311888711243</v>
      </c>
    </row>
    <row r="15" spans="3:6" ht="14.5" customHeight="1">
      <c r="C15" s="442" t="s">
        <v>361</v>
      </c>
      <c r="D15" s="445"/>
      <c r="E15" s="447">
        <f>Restatements!I17</f>
        <v>0.39934723277977713</v>
      </c>
      <c r="F15" s="447">
        <f>Restatements!H17</f>
        <v>0.40356718850599699</v>
      </c>
    </row>
    <row r="16" spans="3:6" ht="14.5" customHeight="1">
      <c r="C16" s="442" t="s">
        <v>362</v>
      </c>
      <c r="D16" s="445"/>
      <c r="E16" s="447">
        <f>Restatements!I32</f>
        <v>0.23308933567709705</v>
      </c>
      <c r="F16" s="447">
        <f>Restatements!H32</f>
        <v>0.19234272849741502</v>
      </c>
    </row>
    <row r="19" spans="3:14" ht="14.5" customHeight="1">
      <c r="I19" s="527" t="s">
        <v>363</v>
      </c>
      <c r="J19" s="527"/>
      <c r="K19" s="527"/>
      <c r="L19" s="527"/>
      <c r="M19" s="527"/>
      <c r="N19" s="527"/>
    </row>
    <row r="20" spans="3:14" ht="14.5" customHeight="1">
      <c r="D20" s="527" t="str">
        <f>FootballField!C45</f>
        <v>Final Valuation</v>
      </c>
      <c r="E20" s="527"/>
      <c r="F20" s="527"/>
      <c r="I20" s="519" t="s">
        <v>207</v>
      </c>
      <c r="J20" s="519" t="s">
        <v>364</v>
      </c>
      <c r="K20" s="529" t="s">
        <v>365</v>
      </c>
      <c r="L20" s="529"/>
      <c r="M20" s="529" t="s">
        <v>366</v>
      </c>
      <c r="N20" s="529"/>
    </row>
    <row r="21" spans="3:14" ht="26.25" customHeight="1">
      <c r="D21" s="518" t="str">
        <f>FootballField!C46</f>
        <v>Median EqV/Share (€)</v>
      </c>
      <c r="E21" s="519" t="str">
        <f>FootballField!D46</f>
        <v>Weight</v>
      </c>
      <c r="F21" s="519" t="str">
        <f>FootballField!E46</f>
        <v>EqV (€M)</v>
      </c>
      <c r="H21" s="197" t="s">
        <v>367</v>
      </c>
      <c r="I21" s="451"/>
      <c r="J21" s="451"/>
      <c r="K21" s="453" t="s">
        <v>368</v>
      </c>
      <c r="L21" s="453" t="s">
        <v>369</v>
      </c>
      <c r="M21" s="453" t="s">
        <v>368</v>
      </c>
      <c r="N21" s="453" t="s">
        <v>369</v>
      </c>
    </row>
    <row r="22" spans="3:14" ht="14.5" customHeight="1">
      <c r="I22" s="451"/>
      <c r="J22" s="451"/>
      <c r="K22" s="451"/>
      <c r="L22" s="451"/>
      <c r="M22" s="451"/>
      <c r="N22" s="451"/>
    </row>
    <row r="23" spans="3:14" ht="14.5" customHeight="1">
      <c r="C23" s="170" t="str">
        <f>FootballField!B48</f>
        <v>DCF</v>
      </c>
      <c r="D23" s="470">
        <f>FootballField!C48</f>
        <v>50.841113213217582</v>
      </c>
      <c r="E23" s="470">
        <f>FootballField!D48</f>
        <v>0.4</v>
      </c>
      <c r="F23" s="465">
        <f>FootballField!E48</f>
        <v>13667.10805397715</v>
      </c>
      <c r="H23" s="170" t="e" vm="1">
        <f>TradingMultiples!B10</f>
        <v>#VALUE!</v>
      </c>
      <c r="I23" s="454">
        <f>TradingMultiples!F10</f>
        <v>1500.0080000000003</v>
      </c>
      <c r="J23" s="454">
        <f>TradingMultiples!E10</f>
        <v>941.70800000000008</v>
      </c>
      <c r="K23" s="458">
        <f>TradingMultiples!M10</f>
        <v>7.2185178055822918</v>
      </c>
      <c r="L23" s="458">
        <f>TradingMultiples!N10</f>
        <v>6.0024329731892765</v>
      </c>
      <c r="M23" s="458">
        <f>TradingMultiples!O10</f>
        <v>25.760054954490819</v>
      </c>
      <c r="N23" s="458">
        <f>TradingMultiples!P10</f>
        <v>16.496293852413945</v>
      </c>
    </row>
    <row r="24" spans="3:14" ht="14.5" customHeight="1">
      <c r="C24" s="170" t="str">
        <f>FootballField!B49</f>
        <v>EV/EBITDA F</v>
      </c>
      <c r="D24" s="470">
        <f>FootballField!C49</f>
        <v>49.529893850828017</v>
      </c>
      <c r="E24" s="470">
        <f>FootballField!D49</f>
        <v>0.2</v>
      </c>
      <c r="F24" s="465">
        <f>FootballField!E49</f>
        <v>13314.626064979588</v>
      </c>
      <c r="H24" s="170" t="e" vm="2">
        <f>TradingMultiples!B11</f>
        <v>#VALUE!</v>
      </c>
      <c r="I24" s="455">
        <f>TradingMultiples!F11</f>
        <v>8360.5139999999992</v>
      </c>
      <c r="J24" s="455">
        <f>TradingMultiples!E11</f>
        <v>7900.3540000000003</v>
      </c>
      <c r="K24" s="458">
        <f>TradingMultiples!M11</f>
        <v>8.8484156382956201</v>
      </c>
      <c r="L24" s="458">
        <f>TradingMultiples!N11</f>
        <v>8.6659003275425999</v>
      </c>
      <c r="M24" s="458">
        <f>TradingMultiples!O11</f>
        <v>13.781900004945353</v>
      </c>
      <c r="N24" s="458">
        <f>TradingMultiples!P11</f>
        <v>13.519807888225875</v>
      </c>
    </row>
    <row r="25" spans="3:14" ht="14.5" customHeight="1">
      <c r="C25" s="170" t="str">
        <f>FootballField!B50</f>
        <v>EV/EBIT F</v>
      </c>
      <c r="D25" s="470">
        <f>FootballField!C50</f>
        <v>66.681399360344926</v>
      </c>
      <c r="E25" s="470">
        <f>FootballField!D50</f>
        <v>0.2</v>
      </c>
      <c r="F25" s="465">
        <f>FootballField!E50</f>
        <v>17925.293776047922</v>
      </c>
      <c r="H25" s="170"/>
      <c r="I25" s="455"/>
      <c r="J25" s="455"/>
      <c r="K25" s="458"/>
      <c r="L25" s="458"/>
      <c r="M25" s="458"/>
      <c r="N25" s="458"/>
    </row>
    <row r="26" spans="3:14" ht="14.5" customHeight="1">
      <c r="C26" s="170" t="str">
        <f>FootballField!B51</f>
        <v>EV/EBITDA A</v>
      </c>
      <c r="D26" s="470">
        <f>FootballField!C51</f>
        <v>37.10346758840771</v>
      </c>
      <c r="E26" s="470">
        <f>FootballField!D51</f>
        <v>0.1</v>
      </c>
      <c r="F26" s="465">
        <f>FootballField!E51</f>
        <v>9974.1541571157613</v>
      </c>
      <c r="H26" s="170"/>
      <c r="I26" s="455"/>
      <c r="J26" s="455"/>
      <c r="K26" s="458"/>
      <c r="L26" s="458"/>
      <c r="M26" s="458"/>
      <c r="N26" s="458"/>
    </row>
    <row r="27" spans="3:14" ht="14.5" customHeight="1">
      <c r="C27" s="170" t="str">
        <f>FootballField!B52</f>
        <v>EV/EBIT A</v>
      </c>
      <c r="D27" s="470">
        <f>FootballField!C52</f>
        <v>57.94921623250854</v>
      </c>
      <c r="E27" s="470">
        <f>FootballField!D52</f>
        <v>0.1</v>
      </c>
      <c r="F27" s="465">
        <f>FootballField!E52</f>
        <v>15577.908307622945</v>
      </c>
      <c r="H27" s="170" t="e" vm="3">
        <f>TradingMultiples!B12</f>
        <v>#VALUE!</v>
      </c>
      <c r="I27" s="454">
        <f>TradingMultiples!F12</f>
        <v>2976.4569999999999</v>
      </c>
      <c r="J27" s="454">
        <f>TradingMultiples!E12</f>
        <v>2742.2869999999998</v>
      </c>
      <c r="K27" s="458">
        <f>TradingMultiples!M12</f>
        <v>10.363708217270196</v>
      </c>
      <c r="L27" s="458">
        <f>TradingMultiples!N12</f>
        <v>11.953642570281124</v>
      </c>
      <c r="M27" s="458">
        <f>TradingMultiples!O12</f>
        <v>23.259021645698208</v>
      </c>
      <c r="N27" s="458">
        <f>TradingMultiples!P12</f>
        <v>41.669564608707823</v>
      </c>
    </row>
    <row r="28" spans="3:14" ht="14.5" customHeight="1">
      <c r="C28" s="47"/>
      <c r="D28" s="469"/>
      <c r="E28" s="469"/>
      <c r="F28" s="466"/>
      <c r="H28" s="170" t="e" vm="4">
        <f>TradingMultiples!B13</f>
        <v>#VALUE!</v>
      </c>
      <c r="I28" s="454">
        <f>TradingMultiples!F13</f>
        <v>5281.1399999999994</v>
      </c>
      <c r="J28" s="454">
        <f>TradingMultiples!E13</f>
        <v>4698.7999999999993</v>
      </c>
      <c r="K28" s="458">
        <f>TradingMultiples!M13</f>
        <v>18.985979292493525</v>
      </c>
      <c r="L28" s="458">
        <f>TradingMultiples!N13</f>
        <v>16.244663180559826</v>
      </c>
      <c r="M28" s="458">
        <f>TradingMultiples!O13</f>
        <v>39.294196428571425</v>
      </c>
      <c r="N28" s="458">
        <f>TradingMultiples!P13</f>
        <v>29.441074813245621</v>
      </c>
    </row>
    <row r="29" spans="3:14" ht="14.5" customHeight="1">
      <c r="H29" s="170" t="e" vm="5">
        <f>TradingMultiples!B14</f>
        <v>#VALUE!</v>
      </c>
      <c r="I29" s="456">
        <f>TradingMultiples!F14</f>
        <v>2233.3226999999997</v>
      </c>
      <c r="J29" s="456">
        <f>TradingMultiples!E14</f>
        <v>1881.9826999999998</v>
      </c>
      <c r="K29" s="458">
        <f>TradingMultiples!M14</f>
        <v>10.809887221684413</v>
      </c>
      <c r="L29" s="458">
        <f>TradingMultiples!N14</f>
        <v>11.517909747292418</v>
      </c>
      <c r="M29" s="458">
        <f>TradingMultiples!O14</f>
        <v>16.993781007457006</v>
      </c>
      <c r="N29" s="458">
        <f>TradingMultiples!P14</f>
        <v>19.588831681431451</v>
      </c>
    </row>
    <row r="30" spans="3:14" ht="14.5" customHeight="1">
      <c r="C30" s="471" t="str">
        <f>FootballField!B54</f>
        <v>Value/Share</v>
      </c>
      <c r="D30" s="472"/>
      <c r="E30" s="472">
        <f>FootballField!D54</f>
        <v>53.083972309613245</v>
      </c>
      <c r="F30" s="473">
        <f>FootballField!E54</f>
        <v>14270.033436270232</v>
      </c>
      <c r="H30" s="170" t="e" vm="6">
        <f>TradingMultiples!B15</f>
        <v>#VALUE!</v>
      </c>
      <c r="I30" s="460">
        <f>TradingMultiples!F15</f>
        <v>8514.0590000000011</v>
      </c>
      <c r="J30" s="460">
        <f>TradingMultiples!E15</f>
        <v>7153.8590000000004</v>
      </c>
      <c r="K30" s="458">
        <f>TradingMultiples!M15</f>
        <v>8.4462357271112971</v>
      </c>
      <c r="L30" s="458">
        <f>TradingMultiples!N15</f>
        <v>8.3054266817543336</v>
      </c>
      <c r="M30" s="458">
        <f>TradingMultiples!O15</f>
        <v>10.843310536303315</v>
      </c>
      <c r="N30" s="458">
        <f>TradingMultiples!P15</f>
        <v>10.703987880464165</v>
      </c>
    </row>
    <row r="31" spans="3:14" ht="14.5" customHeight="1">
      <c r="C31" s="197" t="str">
        <f>FootballField!B55</f>
        <v>Upside</v>
      </c>
      <c r="D31" s="467"/>
      <c r="E31" s="468">
        <f>FootballField!D55</f>
        <v>7.2403481002287773E-2</v>
      </c>
      <c r="F31" s="468">
        <f>FootballField!E55</f>
        <v>7.2403481002287773E-2</v>
      </c>
      <c r="H31" s="420"/>
      <c r="I31" s="461"/>
      <c r="J31" s="461"/>
      <c r="K31" s="462"/>
      <c r="L31" s="462"/>
      <c r="M31" s="462"/>
      <c r="N31" s="462"/>
    </row>
    <row r="32" spans="3:14" ht="14.5" customHeight="1">
      <c r="H32" s="170" t="s">
        <v>216</v>
      </c>
      <c r="K32" s="458">
        <f>TradingMultiples!M16</f>
        <v>10.778790650406224</v>
      </c>
      <c r="L32" s="458">
        <f>TradingMultiples!N16</f>
        <v>10.448329246769928</v>
      </c>
      <c r="M32" s="458">
        <f>TradingMultiples!O16</f>
        <v>21.655377429577687</v>
      </c>
      <c r="N32" s="458">
        <f>TradingMultiples!P16</f>
        <v>21.903260120748143</v>
      </c>
    </row>
    <row r="33" spans="8:14" ht="14.5" customHeight="1">
      <c r="H33" s="170" t="s">
        <v>309</v>
      </c>
      <c r="K33" s="458">
        <f>TradingMultiples!M17</f>
        <v>9.6060619277829069</v>
      </c>
      <c r="L33" s="458">
        <f>TradingMultiples!N17</f>
        <v>10.091905037417508</v>
      </c>
      <c r="M33" s="458">
        <f>TradingMultiples!O17</f>
        <v>20.126401326577607</v>
      </c>
      <c r="N33" s="458">
        <f>TradingMultiples!P17</f>
        <v>18.0425627669227</v>
      </c>
    </row>
    <row r="34" spans="8:14" ht="14.5" customHeight="1">
      <c r="K34" s="451"/>
      <c r="L34" s="451"/>
      <c r="M34" s="451"/>
      <c r="N34" s="451"/>
    </row>
    <row r="35" spans="8:14" ht="14.5" customHeight="1">
      <c r="H35" s="452" t="s">
        <v>370</v>
      </c>
      <c r="I35" s="457">
        <f>TradingMultiples!F19</f>
        <v>13349.156562999999</v>
      </c>
      <c r="J35" s="457">
        <f>TradingMultiples!E19</f>
        <v>13314.226562999998</v>
      </c>
      <c r="K35" s="459">
        <f>TradingMultiples!M19</f>
        <v>12.8424342281228</v>
      </c>
      <c r="L35" s="459">
        <f>TradingMultiples!N19</f>
        <v>10.109776262318732</v>
      </c>
      <c r="M35" s="459">
        <f>TradingMultiples!O19</f>
        <v>17.234794918984342</v>
      </c>
      <c r="N35" s="459">
        <f>TradingMultiples!P19</f>
        <v>13.428297860564051</v>
      </c>
    </row>
    <row r="38" spans="8:14" ht="14.5" customHeight="1">
      <c r="I38" s="197" t="s">
        <v>367</v>
      </c>
      <c r="K38" s="529" t="s">
        <v>365</v>
      </c>
      <c r="L38" s="529"/>
      <c r="M38" s="529" t="s">
        <v>366</v>
      </c>
      <c r="N38" s="529"/>
    </row>
    <row r="39" spans="8:14" ht="14.5" customHeight="1">
      <c r="K39" s="453" t="s">
        <v>368</v>
      </c>
      <c r="L39" s="453" t="s">
        <v>369</v>
      </c>
      <c r="M39" s="453" t="s">
        <v>368</v>
      </c>
      <c r="N39" s="453" t="s">
        <v>369</v>
      </c>
    </row>
    <row r="40" spans="8:14" ht="14.5" customHeight="1">
      <c r="I40" t="s">
        <v>318</v>
      </c>
      <c r="K40" s="464">
        <f>TradingMultiples!G19</f>
        <v>1039.4568760000002</v>
      </c>
      <c r="L40" s="464">
        <f>TradingMultiples!H19</f>
        <v>1320.4205727831109</v>
      </c>
      <c r="M40" s="464">
        <f>TradingMultiples!I19</f>
        <v>774.54687600000022</v>
      </c>
      <c r="N40" s="464">
        <f>TradingMultiples!J19</f>
        <v>994.10637905221984</v>
      </c>
    </row>
    <row r="41" spans="8:14" ht="14.5" customHeight="1">
      <c r="I41" t="s">
        <v>371</v>
      </c>
      <c r="K41" s="464">
        <f>TradingMultiples!E27</f>
        <v>11204.088056529263</v>
      </c>
      <c r="L41" s="464">
        <f>TradingMultiples!G27</f>
        <v>13796.188888646479</v>
      </c>
      <c r="M41" s="464">
        <f>TradingMultiples!I27</f>
        <v>16773.104936680313</v>
      </c>
      <c r="N41" s="464">
        <f>TradingMultiples!K27</f>
        <v>21774.170608075823</v>
      </c>
    </row>
    <row r="42" spans="8:14" ht="14.5" customHeight="1">
      <c r="I42" t="s">
        <v>372</v>
      </c>
      <c r="K42" s="464">
        <f>TradingMultiples!F27</f>
        <v>9985.0871221157595</v>
      </c>
      <c r="L42" s="464">
        <f>TradingMultiples!H27</f>
        <v>13325.559029979588</v>
      </c>
      <c r="M42" s="464">
        <f>TradingMultiples!J27</f>
        <v>15588.841272622945</v>
      </c>
      <c r="N42" s="464">
        <f>TradingMultiples!L27</f>
        <v>17936.226741047925</v>
      </c>
    </row>
    <row r="43" spans="8:14" ht="14.5" customHeight="1">
      <c r="I43" t="s">
        <v>373</v>
      </c>
      <c r="K43" s="464">
        <f>TradingMultiples!E32</f>
        <v>11193.155091529263</v>
      </c>
      <c r="L43" s="464">
        <f>TradingMultiples!G32</f>
        <v>13785.255923646479</v>
      </c>
      <c r="M43" s="464">
        <f>TradingMultiples!I32</f>
        <v>16762.171971680309</v>
      </c>
      <c r="N43" s="464">
        <f>TradingMultiples!K32</f>
        <v>21763.23764307582</v>
      </c>
    </row>
    <row r="44" spans="8:14" ht="14.5" customHeight="1">
      <c r="I44" t="s">
        <v>374</v>
      </c>
      <c r="K44" s="464">
        <f>TradingMultiples!F32</f>
        <v>9974.1541571157595</v>
      </c>
      <c r="L44" s="464">
        <f>TradingMultiples!H32</f>
        <v>13314.626064979588</v>
      </c>
      <c r="M44" s="464">
        <f>TradingMultiples!J32</f>
        <v>15577.908307622945</v>
      </c>
      <c r="N44" s="464">
        <f>TradingMultiples!L32</f>
        <v>17925.293776047922</v>
      </c>
    </row>
  </sheetData>
  <mergeCells count="6">
    <mergeCell ref="D20:F20"/>
    <mergeCell ref="K20:L20"/>
    <mergeCell ref="M20:N20"/>
    <mergeCell ref="I19:N19"/>
    <mergeCell ref="K38:L38"/>
    <mergeCell ref="M38:N38"/>
  </mergeCells>
  <conditionalFormatting sqref="E31:F31">
    <cfRule type="cellIs" dxfId="7" priority="1" operator="lessThan">
      <formula>0</formula>
    </cfRule>
    <cfRule type="cellIs" dxfId="6" priority="2" operator="greaterThan">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701C7-C3F6-4418-957F-A53958A75F5B}">
  <sheetPr>
    <tabColor rgb="FFFFFF00"/>
  </sheetPr>
  <dimension ref="A2:G35"/>
  <sheetViews>
    <sheetView showGridLines="0" zoomScale="139" workbookViewId="0">
      <selection activeCell="G32" sqref="G32"/>
    </sheetView>
  </sheetViews>
  <sheetFormatPr baseColWidth="10" defaultColWidth="8.75" defaultRowHeight="11"/>
  <cols>
    <col min="1" max="1" width="21.25" bestFit="1" customWidth="1"/>
    <col min="2" max="2" width="10.5" customWidth="1"/>
    <col min="3" max="3" width="12.75" customWidth="1"/>
    <col min="4" max="4" width="10.5" customWidth="1"/>
    <col min="5" max="5" width="10" customWidth="1"/>
    <col min="6" max="6" width="9.75" customWidth="1"/>
    <col min="7" max="7" width="13.5" customWidth="1"/>
  </cols>
  <sheetData>
    <row r="2" spans="1:7">
      <c r="B2" s="263">
        <v>44926</v>
      </c>
      <c r="C2" s="492">
        <v>2023</v>
      </c>
      <c r="D2" s="493">
        <v>2024</v>
      </c>
      <c r="E2" s="493">
        <v>2025</v>
      </c>
      <c r="F2" s="493">
        <v>2026</v>
      </c>
      <c r="G2" s="493">
        <v>2027</v>
      </c>
    </row>
    <row r="3" spans="1:7">
      <c r="A3" t="s">
        <v>375</v>
      </c>
      <c r="B3" s="475">
        <f>Restatements!I10</f>
        <v>2602.889893</v>
      </c>
      <c r="C3" s="475">
        <f>Restatements!J10</f>
        <v>3220.5379823978315</v>
      </c>
      <c r="D3" s="475">
        <f>Restatements!K10</f>
        <v>3597.15432803866</v>
      </c>
      <c r="E3" s="475">
        <f>Restatements!L10</f>
        <v>3919.6161628203831</v>
      </c>
      <c r="F3" s="475">
        <f>Restatements!M10</f>
        <v>4181.9372391561337</v>
      </c>
      <c r="G3" s="475">
        <f>Restatements!N10</f>
        <v>4443.7108717016336</v>
      </c>
    </row>
    <row r="5" spans="1:7">
      <c r="A5" t="s">
        <v>193</v>
      </c>
      <c r="B5" s="325">
        <f>(G3/B3)^(1/6)-1</f>
        <v>9.3238706119500359E-2</v>
      </c>
    </row>
    <row r="28" spans="1:7">
      <c r="B28" s="263">
        <v>44926</v>
      </c>
      <c r="C28" s="485">
        <v>45291</v>
      </c>
      <c r="D28" s="486">
        <v>45657</v>
      </c>
      <c r="E28" s="486">
        <v>46022</v>
      </c>
      <c r="F28" s="486">
        <v>46387</v>
      </c>
      <c r="G28" s="486">
        <v>46752</v>
      </c>
    </row>
    <row r="29" spans="1:7">
      <c r="A29" s="451" t="s">
        <v>376</v>
      </c>
      <c r="B29">
        <f>RevAssumptions!I15</f>
        <v>97.23</v>
      </c>
      <c r="C29">
        <f>RevAssumptions!J15</f>
        <v>111.44999999999999</v>
      </c>
      <c r="D29">
        <f>RevAssumptions!K15</f>
        <v>115.89999999999999</v>
      </c>
      <c r="E29">
        <f>RevAssumptions!L15</f>
        <v>120.08</v>
      </c>
      <c r="F29">
        <f>RevAssumptions!M15</f>
        <v>124.05000000000001</v>
      </c>
      <c r="G29">
        <f>RevAssumptions!N15</f>
        <v>127.75999999999999</v>
      </c>
    </row>
    <row r="30" spans="1:7">
      <c r="A30" s="451"/>
    </row>
    <row r="31" spans="1:7">
      <c r="A31" s="451"/>
    </row>
    <row r="32" spans="1:7">
      <c r="A32" s="451" t="s">
        <v>377</v>
      </c>
      <c r="B32" s="325">
        <f>RevAssumptions!I19</f>
        <v>2.5006268117363985E-2</v>
      </c>
      <c r="C32" s="325">
        <f>RevAssumptions!J19</f>
        <v>2.7006268117363987E-2</v>
      </c>
      <c r="D32" s="325">
        <f>RevAssumptions!K19</f>
        <v>2.9006268117363988E-2</v>
      </c>
      <c r="E32" s="325">
        <f>RevAssumptions!L19</f>
        <v>3.050626811736399E-2</v>
      </c>
      <c r="F32" s="325">
        <f>RevAssumptions!M19</f>
        <v>3.1506268117363991E-2</v>
      </c>
      <c r="G32" s="325">
        <f>RevAssumptions!N19</f>
        <v>3.2506268117363991E-2</v>
      </c>
    </row>
    <row r="33" spans="1:7">
      <c r="A33" s="451"/>
      <c r="B33" s="476">
        <f t="shared" ref="B33:G33" si="0">B32*B29</f>
        <v>2.4313594490513002</v>
      </c>
      <c r="C33" s="476">
        <f t="shared" si="0"/>
        <v>3.0098485816802159</v>
      </c>
      <c r="D33" s="476">
        <f t="shared" si="0"/>
        <v>3.361826474802486</v>
      </c>
      <c r="E33" s="476">
        <f t="shared" si="0"/>
        <v>3.6631926755330677</v>
      </c>
      <c r="F33" s="476">
        <f t="shared" si="0"/>
        <v>3.9083525599590034</v>
      </c>
      <c r="G33" s="476">
        <f t="shared" si="0"/>
        <v>4.1530008146744235</v>
      </c>
    </row>
    <row r="34" spans="1:7">
      <c r="A34" s="451"/>
    </row>
    <row r="35" spans="1:7">
      <c r="A35" s="451" t="s">
        <v>533</v>
      </c>
      <c r="B35" s="476">
        <f t="shared" ref="B35:G35" si="1">B29-B33</f>
        <v>94.798640550948704</v>
      </c>
      <c r="C35" s="476">
        <f t="shared" si="1"/>
        <v>108.44015141831977</v>
      </c>
      <c r="D35" s="476">
        <f t="shared" si="1"/>
        <v>112.53817352519751</v>
      </c>
      <c r="E35" s="476">
        <f t="shared" si="1"/>
        <v>116.41680732446693</v>
      </c>
      <c r="F35" s="476">
        <f t="shared" si="1"/>
        <v>120.14164744004101</v>
      </c>
      <c r="G35" s="476">
        <f t="shared" si="1"/>
        <v>123.60699918532556</v>
      </c>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BFDE1-4EA6-456A-A902-5E3226F4FAA5}">
  <dimension ref="A1:AF67"/>
  <sheetViews>
    <sheetView topLeftCell="A16" zoomScale="120" zoomScaleNormal="120" workbookViewId="0">
      <selection activeCell="G13" sqref="G13"/>
    </sheetView>
  </sheetViews>
  <sheetFormatPr baseColWidth="10" defaultColWidth="8.75" defaultRowHeight="15"/>
  <cols>
    <col min="1" max="1" width="8.75" style="326"/>
    <col min="2" max="3" width="12.25" style="326" bestFit="1" customWidth="1"/>
    <col min="4" max="4" width="11.75" style="326" customWidth="1"/>
    <col min="5" max="5" width="12.75" style="326" bestFit="1" customWidth="1"/>
    <col min="6" max="6" width="11.75" style="326" customWidth="1"/>
    <col min="7" max="7" width="12.75" style="326" customWidth="1"/>
    <col min="8" max="9" width="8.75" style="326"/>
    <col min="10" max="10" width="12.75" style="326" bestFit="1" customWidth="1"/>
    <col min="11" max="18" width="8.75" style="326"/>
    <col min="19" max="19" width="14" style="326" bestFit="1" customWidth="1"/>
    <col min="20" max="20" width="8.75" style="326"/>
    <col min="21" max="24" width="11.75" style="326" bestFit="1" customWidth="1"/>
    <col min="25" max="16384" width="8.75" style="326"/>
  </cols>
  <sheetData>
    <row r="1" spans="1:32" ht="18">
      <c r="B1" s="327"/>
      <c r="E1" s="328"/>
      <c r="H1" s="328"/>
      <c r="N1" s="328"/>
    </row>
    <row r="2" spans="1:32" ht="18">
      <c r="B2" s="329" t="s">
        <v>293</v>
      </c>
      <c r="C2" s="330"/>
      <c r="D2" s="330"/>
      <c r="E2" s="331"/>
      <c r="G2" s="330"/>
      <c r="H2" s="328"/>
      <c r="N2" s="328"/>
    </row>
    <row r="3" spans="1:32">
      <c r="B3" s="332"/>
      <c r="C3" s="333"/>
      <c r="D3" s="333"/>
      <c r="E3" s="334"/>
      <c r="F3" s="334"/>
      <c r="G3" s="334"/>
      <c r="H3" s="334"/>
      <c r="I3" s="334"/>
      <c r="J3" s="334"/>
      <c r="K3" s="334"/>
      <c r="L3" s="334"/>
      <c r="M3" s="334"/>
      <c r="N3" s="334"/>
      <c r="P3" s="334"/>
    </row>
    <row r="4" spans="1:32">
      <c r="B4" s="335" t="s">
        <v>294</v>
      </c>
      <c r="C4" s="336">
        <v>44926</v>
      </c>
      <c r="E4" s="334"/>
      <c r="F4" s="334"/>
      <c r="G4" s="334"/>
      <c r="H4" s="334"/>
      <c r="I4" s="334"/>
      <c r="J4" s="334"/>
      <c r="K4" s="334"/>
      <c r="L4" s="334"/>
      <c r="M4" s="334"/>
      <c r="N4" s="334"/>
      <c r="P4" s="334"/>
    </row>
    <row r="5" spans="1:32" ht="16" thickBot="1">
      <c r="B5" s="337" t="s">
        <v>295</v>
      </c>
      <c r="C5" s="338">
        <v>45291</v>
      </c>
      <c r="D5" s="334"/>
      <c r="E5" s="334"/>
      <c r="F5" s="334"/>
      <c r="G5" s="334"/>
      <c r="H5" s="334"/>
      <c r="I5" s="334"/>
      <c r="J5" s="334"/>
      <c r="K5" s="334"/>
      <c r="L5" s="334"/>
      <c r="M5" s="334"/>
      <c r="N5" s="334"/>
      <c r="P5" s="334"/>
    </row>
    <row r="6" spans="1:32">
      <c r="B6" s="332"/>
      <c r="C6" s="339"/>
      <c r="D6" s="334"/>
      <c r="E6" s="334"/>
      <c r="F6" s="334"/>
      <c r="G6" s="334"/>
      <c r="H6" s="334"/>
      <c r="I6" s="334"/>
      <c r="J6" s="334"/>
      <c r="K6" s="334"/>
      <c r="L6" s="334"/>
      <c r="M6" s="334"/>
      <c r="N6" s="334"/>
      <c r="P6" s="334"/>
      <c r="Z6" s="340" t="s">
        <v>145</v>
      </c>
      <c r="AA6" s="341"/>
      <c r="AB6" s="341"/>
      <c r="AC6" s="341"/>
      <c r="AD6" s="341"/>
      <c r="AE6" s="341"/>
      <c r="AF6" s="342"/>
    </row>
    <row r="7" spans="1:32">
      <c r="B7" s="332"/>
      <c r="C7" s="333"/>
      <c r="D7" s="333"/>
      <c r="E7" s="334"/>
      <c r="F7" s="334"/>
      <c r="G7" s="334"/>
      <c r="H7" s="334"/>
      <c r="I7" s="334"/>
      <c r="J7" s="334"/>
      <c r="K7" s="334"/>
      <c r="L7" s="334"/>
      <c r="M7" s="334"/>
      <c r="N7" s="334"/>
      <c r="P7" s="334"/>
      <c r="Z7" s="343" t="s">
        <v>378</v>
      </c>
      <c r="AA7" s="344"/>
      <c r="AB7" s="344"/>
      <c r="AC7" s="344"/>
      <c r="AD7" s="344"/>
      <c r="AE7" s="344"/>
      <c r="AF7" s="345"/>
    </row>
    <row r="8" spans="1:32" ht="60">
      <c r="B8" s="346" t="s">
        <v>8</v>
      </c>
      <c r="C8" s="347" t="s">
        <v>201</v>
      </c>
      <c r="D8" s="347" t="s">
        <v>202</v>
      </c>
      <c r="E8" s="348" t="s">
        <v>379</v>
      </c>
      <c r="F8" s="349" t="s">
        <v>139</v>
      </c>
      <c r="G8" s="349" t="s">
        <v>142</v>
      </c>
      <c r="H8" s="349" t="s">
        <v>205</v>
      </c>
      <c r="I8" s="349" t="s">
        <v>206</v>
      </c>
      <c r="J8" s="348" t="s">
        <v>380</v>
      </c>
      <c r="K8" s="349" t="s">
        <v>208</v>
      </c>
      <c r="L8" s="348" t="s">
        <v>381</v>
      </c>
      <c r="M8" s="348" t="s">
        <v>382</v>
      </c>
      <c r="N8" s="348" t="s">
        <v>297</v>
      </c>
      <c r="O8" s="348" t="s">
        <v>298</v>
      </c>
      <c r="P8" s="348" t="s">
        <v>301</v>
      </c>
      <c r="Q8" s="348" t="s">
        <v>302</v>
      </c>
      <c r="R8" s="348" t="s">
        <v>383</v>
      </c>
      <c r="S8" s="348" t="s">
        <v>384</v>
      </c>
      <c r="T8" s="348" t="s">
        <v>303</v>
      </c>
      <c r="U8" s="348" t="s">
        <v>304</v>
      </c>
      <c r="V8" s="348" t="s">
        <v>307</v>
      </c>
      <c r="W8" s="348" t="s">
        <v>308</v>
      </c>
      <c r="Z8" s="350" t="s">
        <v>383</v>
      </c>
      <c r="AA8" s="351" t="s">
        <v>384</v>
      </c>
      <c r="AB8" s="351" t="s">
        <v>303</v>
      </c>
      <c r="AC8" s="351" t="s">
        <v>304</v>
      </c>
      <c r="AD8" s="351" t="s">
        <v>307</v>
      </c>
      <c r="AE8" s="351" t="s">
        <v>308</v>
      </c>
      <c r="AF8" s="345"/>
    </row>
    <row r="9" spans="1:32">
      <c r="Z9" s="343"/>
      <c r="AA9" s="344"/>
      <c r="AB9" s="344"/>
      <c r="AC9" s="344"/>
      <c r="AD9" s="344"/>
      <c r="AE9" s="344"/>
      <c r="AF9" s="345"/>
    </row>
    <row r="10" spans="1:32">
      <c r="A10" s="352" t="s">
        <v>385</v>
      </c>
      <c r="B10" s="353" t="s">
        <v>386</v>
      </c>
      <c r="C10" s="354" t="s">
        <v>212</v>
      </c>
      <c r="D10" s="354" t="s">
        <v>387</v>
      </c>
      <c r="E10" s="354">
        <f>30.28*31.1</f>
        <v>941.70800000000008</v>
      </c>
      <c r="F10" s="355">
        <v>551.42999999999995</v>
      </c>
      <c r="G10" s="355">
        <v>0</v>
      </c>
      <c r="H10" s="355">
        <v>0</v>
      </c>
      <c r="I10" s="355">
        <v>0</v>
      </c>
      <c r="J10" s="354">
        <f>SUM(E10:I10)</f>
        <v>1493.1379999999999</v>
      </c>
      <c r="K10" s="356">
        <f>F10/(E10+G10+I10)</f>
        <v>0.58556367791289854</v>
      </c>
      <c r="L10" s="355">
        <v>1007</v>
      </c>
      <c r="M10" s="355">
        <v>1137.7</v>
      </c>
      <c r="N10" s="355">
        <v>207.8</v>
      </c>
      <c r="O10" s="355">
        <v>249.9</v>
      </c>
      <c r="P10" s="355">
        <v>23.1</v>
      </c>
      <c r="Q10" s="355">
        <v>46.2</v>
      </c>
      <c r="R10" s="357">
        <f t="shared" ref="R10:U20" si="0">+$J10/L10</f>
        <v>1.4827586891757696</v>
      </c>
      <c r="S10" s="357">
        <f t="shared" si="0"/>
        <v>1.3124180363892062</v>
      </c>
      <c r="T10" s="357">
        <f t="shared" si="0"/>
        <v>7.185457170356111</v>
      </c>
      <c r="U10" s="357">
        <f t="shared" si="0"/>
        <v>5.9749419767907161</v>
      </c>
      <c r="V10" s="357">
        <f t="shared" ref="V10:W20" si="1">+$E10/P10</f>
        <v>40.766580086580085</v>
      </c>
      <c r="W10" s="357">
        <f t="shared" si="1"/>
        <v>20.383290043290042</v>
      </c>
      <c r="X10" s="353" t="s">
        <v>386</v>
      </c>
      <c r="Z10" s="358">
        <v>1.54</v>
      </c>
      <c r="AA10" s="344"/>
      <c r="AB10" s="359">
        <v>7.48</v>
      </c>
      <c r="AC10" s="344"/>
      <c r="AD10" s="359">
        <v>43.3</v>
      </c>
      <c r="AE10" s="344"/>
      <c r="AF10" s="345" t="s">
        <v>388</v>
      </c>
    </row>
    <row r="11" spans="1:32">
      <c r="A11" s="352" t="s">
        <v>385</v>
      </c>
      <c r="B11" s="353" t="s">
        <v>389</v>
      </c>
      <c r="C11" s="354" t="s">
        <v>390</v>
      </c>
      <c r="D11" s="354" t="s">
        <v>391</v>
      </c>
      <c r="E11" s="354">
        <f>20.3*389.18</f>
        <v>7900.3540000000003</v>
      </c>
      <c r="F11" s="355">
        <v>478</v>
      </c>
      <c r="G11" s="355">
        <v>6</v>
      </c>
      <c r="H11" s="355">
        <v>0</v>
      </c>
      <c r="I11" s="355">
        <v>0</v>
      </c>
      <c r="J11" s="354">
        <f t="shared" ref="J11:J20" si="2">SUM(E11:I11)</f>
        <v>8384.3539999999994</v>
      </c>
      <c r="K11" s="356">
        <f>F11/(E11+G11+I11)</f>
        <v>6.0457702754012785E-2</v>
      </c>
      <c r="L11" s="355">
        <v>3027.92</v>
      </c>
      <c r="M11" s="355">
        <v>3182.94</v>
      </c>
      <c r="N11" s="355">
        <v>944.86</v>
      </c>
      <c r="O11" s="355">
        <v>964.76</v>
      </c>
      <c r="P11" s="355">
        <v>467.07</v>
      </c>
      <c r="Q11" s="355">
        <v>445.54</v>
      </c>
      <c r="R11" s="357">
        <f t="shared" si="0"/>
        <v>2.7690143729028507</v>
      </c>
      <c r="S11" s="357">
        <f t="shared" si="0"/>
        <v>2.6341539582901339</v>
      </c>
      <c r="T11" s="357">
        <f t="shared" si="0"/>
        <v>8.8736468894862721</v>
      </c>
      <c r="U11" s="357">
        <f t="shared" si="0"/>
        <v>8.6906111364484424</v>
      </c>
      <c r="V11" s="357">
        <f t="shared" si="1"/>
        <v>16.914710857044984</v>
      </c>
      <c r="W11" s="357">
        <f t="shared" si="1"/>
        <v>17.732086905777258</v>
      </c>
      <c r="X11" s="353" t="s">
        <v>389</v>
      </c>
      <c r="Z11" s="358">
        <v>3.37</v>
      </c>
      <c r="AA11" s="344"/>
      <c r="AB11" s="359">
        <v>10.79</v>
      </c>
      <c r="AC11" s="344"/>
      <c r="AD11" s="359">
        <v>17.600000000000001</v>
      </c>
      <c r="AE11" s="344"/>
      <c r="AF11" s="345" t="s">
        <v>392</v>
      </c>
    </row>
    <row r="12" spans="1:32">
      <c r="B12" s="360" t="s">
        <v>393</v>
      </c>
      <c r="C12" s="354" t="s">
        <v>212</v>
      </c>
      <c r="D12" s="354" t="s">
        <v>394</v>
      </c>
      <c r="E12" s="354">
        <f>44.1*2558.8</f>
        <v>112843.08000000002</v>
      </c>
      <c r="F12" s="355">
        <v>13098.31</v>
      </c>
      <c r="G12" s="355">
        <v>157</v>
      </c>
      <c r="H12" s="355">
        <v>0</v>
      </c>
      <c r="I12" s="355">
        <v>0</v>
      </c>
      <c r="J12" s="354">
        <f t="shared" si="2"/>
        <v>126098.39000000001</v>
      </c>
      <c r="K12" s="356">
        <f t="shared" ref="K12:K20" si="3">F12/(E12+G12+I12)</f>
        <v>0.11591416572448442</v>
      </c>
      <c r="L12" s="355">
        <v>34570.050000000003</v>
      </c>
      <c r="M12" s="355">
        <v>39256.239999999998</v>
      </c>
      <c r="N12" s="355">
        <v>12428.75</v>
      </c>
      <c r="O12" s="355">
        <v>14647.75</v>
      </c>
      <c r="P12" s="355">
        <v>3828.37</v>
      </c>
      <c r="Q12" s="355">
        <v>5457.44</v>
      </c>
      <c r="R12" s="357">
        <f t="shared" si="0"/>
        <v>3.6476195435065901</v>
      </c>
      <c r="S12" s="357">
        <f t="shared" si="0"/>
        <v>3.2121871580161527</v>
      </c>
      <c r="T12" s="357">
        <f t="shared" si="0"/>
        <v>10.145701699688225</v>
      </c>
      <c r="U12" s="357">
        <f t="shared" si="0"/>
        <v>8.6087207932959</v>
      </c>
      <c r="V12" s="357">
        <f t="shared" si="1"/>
        <v>29.475489568667609</v>
      </c>
      <c r="W12" s="357">
        <f t="shared" si="1"/>
        <v>20.676925444897247</v>
      </c>
      <c r="X12" s="360" t="s">
        <v>393</v>
      </c>
      <c r="Z12" s="358">
        <v>3.65</v>
      </c>
      <c r="AA12" s="344"/>
      <c r="AB12" s="359">
        <v>10.15</v>
      </c>
      <c r="AC12" s="344"/>
      <c r="AD12" s="359">
        <v>28.9</v>
      </c>
      <c r="AE12" s="344"/>
      <c r="AF12" s="345" t="s">
        <v>388</v>
      </c>
    </row>
    <row r="13" spans="1:32">
      <c r="A13" s="352" t="s">
        <v>385</v>
      </c>
      <c r="B13" s="360" t="s">
        <v>395</v>
      </c>
      <c r="C13" s="354" t="s">
        <v>212</v>
      </c>
      <c r="D13" s="354" t="s">
        <v>387</v>
      </c>
      <c r="E13" s="354">
        <f>69.1*68</f>
        <v>4698.7999999999993</v>
      </c>
      <c r="F13" s="355">
        <v>558.9</v>
      </c>
      <c r="G13" s="355">
        <v>10.4</v>
      </c>
      <c r="H13" s="355">
        <v>3.1</v>
      </c>
      <c r="I13" s="355">
        <v>0</v>
      </c>
      <c r="J13" s="354">
        <f t="shared" si="2"/>
        <v>5271.1999999999989</v>
      </c>
      <c r="K13" s="356">
        <f t="shared" si="3"/>
        <v>0.11868257878195874</v>
      </c>
      <c r="L13" s="355">
        <v>919.70799999999997</v>
      </c>
      <c r="M13" s="355">
        <v>1116.5</v>
      </c>
      <c r="N13" s="355">
        <v>278.16000000000003</v>
      </c>
      <c r="O13" s="355">
        <v>325.10000000000002</v>
      </c>
      <c r="P13" s="355">
        <v>80.599999999999994</v>
      </c>
      <c r="Q13" s="355">
        <v>112.8</v>
      </c>
      <c r="R13" s="357">
        <f t="shared" si="0"/>
        <v>5.7313843089328342</v>
      </c>
      <c r="S13" s="357">
        <f t="shared" si="0"/>
        <v>4.7211822660098512</v>
      </c>
      <c r="T13" s="357">
        <f t="shared" si="0"/>
        <v>18.950244463618056</v>
      </c>
      <c r="U13" s="357">
        <f t="shared" si="0"/>
        <v>16.214087972931402</v>
      </c>
      <c r="V13" s="357">
        <f t="shared" si="1"/>
        <v>58.297766749379647</v>
      </c>
      <c r="W13" s="357">
        <f t="shared" si="1"/>
        <v>41.656028368794324</v>
      </c>
      <c r="X13" s="360" t="s">
        <v>395</v>
      </c>
      <c r="Z13" s="358">
        <v>5.74</v>
      </c>
      <c r="AA13" s="344"/>
      <c r="AB13" s="359">
        <v>18.97</v>
      </c>
      <c r="AC13" s="344"/>
      <c r="AD13" s="359">
        <v>58.3</v>
      </c>
      <c r="AE13" s="344"/>
      <c r="AF13" s="345" t="s">
        <v>388</v>
      </c>
    </row>
    <row r="14" spans="1:32">
      <c r="A14" s="352" t="s">
        <v>385</v>
      </c>
      <c r="B14" s="360" t="s">
        <v>396</v>
      </c>
      <c r="C14" s="354" t="s">
        <v>212</v>
      </c>
      <c r="D14" s="354" t="s">
        <v>387</v>
      </c>
      <c r="E14" s="354">
        <f>16.49*166.3</f>
        <v>2742.2869999999998</v>
      </c>
      <c r="F14" s="355">
        <v>203</v>
      </c>
      <c r="G14" s="355">
        <v>23.6</v>
      </c>
      <c r="H14" s="355">
        <v>7.6</v>
      </c>
      <c r="I14" s="355">
        <v>0</v>
      </c>
      <c r="J14" s="354">
        <f t="shared" si="2"/>
        <v>2976.4869999999996</v>
      </c>
      <c r="K14" s="356">
        <f t="shared" si="3"/>
        <v>7.3394176985538462E-2</v>
      </c>
      <c r="L14" s="355">
        <v>1251.808</v>
      </c>
      <c r="M14" s="355">
        <v>1174.0999999999999</v>
      </c>
      <c r="N14" s="355">
        <v>287.2</v>
      </c>
      <c r="O14" s="355">
        <v>249</v>
      </c>
      <c r="P14" s="355">
        <v>69.599999999999994</v>
      </c>
      <c r="Q14" s="355">
        <v>31.6</v>
      </c>
      <c r="R14" s="357">
        <f t="shared" si="0"/>
        <v>2.3777504217899228</v>
      </c>
      <c r="S14" s="357">
        <f t="shared" si="0"/>
        <v>2.5351222212758708</v>
      </c>
      <c r="T14" s="357">
        <f t="shared" si="0"/>
        <v>10.363812674094707</v>
      </c>
      <c r="U14" s="357">
        <f t="shared" si="0"/>
        <v>11.953763052208833</v>
      </c>
      <c r="V14" s="357">
        <f t="shared" si="1"/>
        <v>39.400675287356322</v>
      </c>
      <c r="W14" s="357">
        <f t="shared" si="1"/>
        <v>86.781234177215183</v>
      </c>
      <c r="X14" s="360" t="s">
        <v>396</v>
      </c>
      <c r="Z14" s="358">
        <v>2.36</v>
      </c>
      <c r="AA14" s="344"/>
      <c r="AB14" s="359">
        <v>10.29</v>
      </c>
      <c r="AC14" s="344"/>
      <c r="AD14" s="359">
        <v>40.200000000000003</v>
      </c>
      <c r="AE14" s="344"/>
      <c r="AF14" s="345" t="s">
        <v>388</v>
      </c>
    </row>
    <row r="15" spans="1:32">
      <c r="A15" s="352" t="s">
        <v>385</v>
      </c>
      <c r="B15" s="353" t="s">
        <v>397</v>
      </c>
      <c r="C15" s="354" t="s">
        <v>214</v>
      </c>
      <c r="D15" s="354" t="s">
        <v>398</v>
      </c>
      <c r="E15" s="354">
        <f>17.81*105.67</f>
        <v>1881.9826999999998</v>
      </c>
      <c r="F15" s="355">
        <v>308.89999999999998</v>
      </c>
      <c r="G15" s="355">
        <v>10.3</v>
      </c>
      <c r="H15" s="355">
        <v>0</v>
      </c>
      <c r="I15" s="355">
        <v>0</v>
      </c>
      <c r="J15" s="354">
        <f t="shared" si="2"/>
        <v>2201.1826999999998</v>
      </c>
      <c r="K15" s="356">
        <f t="shared" si="3"/>
        <v>0.16324199338714032</v>
      </c>
      <c r="L15" s="355">
        <v>891.2</v>
      </c>
      <c r="M15" s="355">
        <v>915.5</v>
      </c>
      <c r="N15" s="355">
        <v>206.6</v>
      </c>
      <c r="O15" s="355">
        <v>193.9</v>
      </c>
      <c r="P15" s="355">
        <v>84.8</v>
      </c>
      <c r="Q15" s="355">
        <v>69.8</v>
      </c>
      <c r="R15" s="357">
        <f t="shared" si="0"/>
        <v>2.4699087746858166</v>
      </c>
      <c r="S15" s="357">
        <f t="shared" si="0"/>
        <v>2.4043503003823048</v>
      </c>
      <c r="T15" s="357">
        <f t="shared" si="0"/>
        <v>10.654320909970957</v>
      </c>
      <c r="U15" s="357">
        <f t="shared" si="0"/>
        <v>11.352154203197523</v>
      </c>
      <c r="V15" s="357">
        <f t="shared" si="1"/>
        <v>22.193192216981132</v>
      </c>
      <c r="W15" s="357">
        <f t="shared" si="1"/>
        <v>26.962502865329512</v>
      </c>
      <c r="X15" s="353" t="s">
        <v>397</v>
      </c>
      <c r="Z15" s="358">
        <v>2.4699087746858166</v>
      </c>
      <c r="AA15" s="344"/>
      <c r="AB15" s="359">
        <v>10.654320909970957</v>
      </c>
      <c r="AC15" s="344"/>
      <c r="AD15" s="359">
        <v>22.4</v>
      </c>
      <c r="AE15" s="344"/>
      <c r="AF15" s="345" t="s">
        <v>399</v>
      </c>
    </row>
    <row r="16" spans="1:32">
      <c r="A16" s="352" t="s">
        <v>385</v>
      </c>
      <c r="B16" s="353" t="s">
        <v>400</v>
      </c>
      <c r="C16" s="354" t="s">
        <v>401</v>
      </c>
      <c r="D16" s="354" t="s">
        <v>402</v>
      </c>
      <c r="E16" s="354">
        <f>105.67*67.7</f>
        <v>7153.8590000000004</v>
      </c>
      <c r="F16" s="355">
        <v>1123.5</v>
      </c>
      <c r="G16" s="355">
        <v>0</v>
      </c>
      <c r="H16" s="355">
        <v>0</v>
      </c>
      <c r="I16" s="355">
        <v>0</v>
      </c>
      <c r="J16" s="354">
        <f t="shared" si="2"/>
        <v>8277.3590000000004</v>
      </c>
      <c r="K16" s="356">
        <f t="shared" si="3"/>
        <v>0.15704810508566075</v>
      </c>
      <c r="L16" s="355">
        <v>6388.1</v>
      </c>
      <c r="M16" s="355">
        <v>6534.87</v>
      </c>
      <c r="N16" s="355">
        <v>1008.03</v>
      </c>
      <c r="O16" s="355">
        <v>1025.1199999999999</v>
      </c>
      <c r="P16" s="355">
        <v>587.36</v>
      </c>
      <c r="Q16" s="355">
        <v>612.38</v>
      </c>
      <c r="R16" s="357">
        <f t="shared" si="0"/>
        <v>1.295746622626446</v>
      </c>
      <c r="S16" s="357">
        <f t="shared" si="0"/>
        <v>1.2666447840584434</v>
      </c>
      <c r="T16" s="357">
        <f t="shared" si="0"/>
        <v>8.2114212870648693</v>
      </c>
      <c r="U16" s="357">
        <f>+$J16/O16</f>
        <v>8.0745268846574074</v>
      </c>
      <c r="V16" s="357">
        <f t="shared" si="1"/>
        <v>12.179683669299919</v>
      </c>
      <c r="W16" s="357">
        <f t="shared" si="1"/>
        <v>11.682058525751986</v>
      </c>
      <c r="X16" s="353" t="s">
        <v>400</v>
      </c>
      <c r="Z16" s="358">
        <v>1.4</v>
      </c>
      <c r="AA16" s="344"/>
      <c r="AB16" s="359">
        <v>9.4600000000000009</v>
      </c>
      <c r="AC16" s="344"/>
      <c r="AD16" s="359">
        <v>12.7</v>
      </c>
      <c r="AE16" s="344"/>
      <c r="AF16" s="345" t="s">
        <v>399</v>
      </c>
    </row>
    <row r="17" spans="2:32">
      <c r="B17" s="360" t="s">
        <v>403</v>
      </c>
      <c r="C17" s="354" t="s">
        <v>404</v>
      </c>
      <c r="D17" s="354" t="s">
        <v>387</v>
      </c>
      <c r="E17" s="354">
        <f>1445*104.9</f>
        <v>151580.5</v>
      </c>
      <c r="F17" s="355">
        <v>-7291</v>
      </c>
      <c r="G17" s="355">
        <v>16</v>
      </c>
      <c r="H17" s="355">
        <v>181</v>
      </c>
      <c r="I17" s="355">
        <v>0</v>
      </c>
      <c r="J17" s="354">
        <f t="shared" si="2"/>
        <v>144486.5</v>
      </c>
      <c r="K17" s="356">
        <f t="shared" si="3"/>
        <v>-4.8094777913738111E-2</v>
      </c>
      <c r="L17" s="355">
        <v>11602</v>
      </c>
      <c r="M17" s="355">
        <v>13423.75</v>
      </c>
      <c r="N17" s="355">
        <v>5304</v>
      </c>
      <c r="O17" s="355">
        <v>6209.44</v>
      </c>
      <c r="P17" s="355">
        <v>3367</v>
      </c>
      <c r="Q17" s="355">
        <v>4059.67</v>
      </c>
      <c r="R17" s="357">
        <f t="shared" si="0"/>
        <v>12.453585588691604</v>
      </c>
      <c r="S17" s="357">
        <f>+$J17/M17</f>
        <v>10.763497532358693</v>
      </c>
      <c r="T17" s="357">
        <f t="shared" si="0"/>
        <v>27.241044494720967</v>
      </c>
      <c r="U17" s="357">
        <f t="shared" si="0"/>
        <v>23.268845499755212</v>
      </c>
      <c r="V17" s="357">
        <f t="shared" si="1"/>
        <v>45.019453519453521</v>
      </c>
      <c r="W17" s="357">
        <f t="shared" si="1"/>
        <v>37.338133395078913</v>
      </c>
      <c r="X17" s="360" t="s">
        <v>403</v>
      </c>
      <c r="Z17" s="358">
        <v>12.4</v>
      </c>
      <c r="AA17" s="344"/>
      <c r="AB17" s="359">
        <v>27.2</v>
      </c>
      <c r="AC17" s="344"/>
      <c r="AD17" s="359">
        <v>45</v>
      </c>
      <c r="AE17" s="344"/>
      <c r="AF17" s="345" t="s">
        <v>399</v>
      </c>
    </row>
    <row r="18" spans="2:32">
      <c r="B18" s="360" t="s">
        <v>405</v>
      </c>
      <c r="C18" s="354" t="s">
        <v>404</v>
      </c>
      <c r="D18" s="354" t="s">
        <v>387</v>
      </c>
      <c r="E18" s="354">
        <f>679.9*502.5</f>
        <v>341649.75</v>
      </c>
      <c r="F18" s="355">
        <v>24235</v>
      </c>
      <c r="G18" s="355">
        <v>1493</v>
      </c>
      <c r="H18" s="355">
        <v>0</v>
      </c>
      <c r="I18" s="355">
        <v>0</v>
      </c>
      <c r="J18" s="354">
        <f t="shared" si="2"/>
        <v>367377.75</v>
      </c>
      <c r="K18" s="356">
        <f t="shared" si="3"/>
        <v>7.0626583251431077E-2</v>
      </c>
      <c r="L18" s="355">
        <v>79184</v>
      </c>
      <c r="M18" s="355">
        <v>86281.5</v>
      </c>
      <c r="N18" s="355">
        <v>26826.7</v>
      </c>
      <c r="O18" s="355">
        <v>28176.2</v>
      </c>
      <c r="P18" s="355">
        <v>14084</v>
      </c>
      <c r="Q18" s="355">
        <v>16026</v>
      </c>
      <c r="R18" s="357">
        <f t="shared" si="0"/>
        <v>4.6395452364113963</v>
      </c>
      <c r="S18" s="357">
        <f t="shared" si="0"/>
        <v>4.2578971158359558</v>
      </c>
      <c r="T18" s="357">
        <f t="shared" si="0"/>
        <v>13.694481617194809</v>
      </c>
      <c r="U18" s="357">
        <f t="shared" si="0"/>
        <v>13.038583982226134</v>
      </c>
      <c r="V18" s="357">
        <f t="shared" si="1"/>
        <v>24.258005538199374</v>
      </c>
      <c r="W18" s="357">
        <f t="shared" si="1"/>
        <v>21.318466866342195</v>
      </c>
      <c r="X18" s="360" t="s">
        <v>405</v>
      </c>
      <c r="Z18" s="358">
        <v>4.5999999999999996</v>
      </c>
      <c r="AA18" s="344"/>
      <c r="AB18" s="359">
        <v>13.7</v>
      </c>
      <c r="AC18" s="344"/>
      <c r="AD18" s="359">
        <v>24.3</v>
      </c>
      <c r="AE18" s="344"/>
      <c r="AF18" s="345" t="s">
        <v>388</v>
      </c>
    </row>
    <row r="19" spans="2:32">
      <c r="B19" s="360" t="s">
        <v>406</v>
      </c>
      <c r="C19" s="354" t="s">
        <v>404</v>
      </c>
      <c r="D19" s="354" t="s">
        <v>387</v>
      </c>
      <c r="E19" s="354">
        <f>475.5*123.3</f>
        <v>58629.15</v>
      </c>
      <c r="F19" s="355">
        <v>7538</v>
      </c>
      <c r="G19" s="355">
        <v>785</v>
      </c>
      <c r="H19" s="355">
        <v>66</v>
      </c>
      <c r="I19" s="355">
        <v>0</v>
      </c>
      <c r="J19" s="354">
        <f t="shared" si="2"/>
        <v>67018.149999999994</v>
      </c>
      <c r="K19" s="356">
        <f t="shared" si="3"/>
        <v>0.12687213399501635</v>
      </c>
      <c r="L19" s="355">
        <v>20351</v>
      </c>
      <c r="M19" s="355">
        <v>19861.400000000001</v>
      </c>
      <c r="N19" s="355">
        <v>7255</v>
      </c>
      <c r="O19" s="355">
        <v>6679.2</v>
      </c>
      <c r="P19" s="355">
        <v>3747</v>
      </c>
      <c r="Q19" s="355">
        <v>3323.3</v>
      </c>
      <c r="R19" s="357">
        <f t="shared" si="0"/>
        <v>3.293113360522824</v>
      </c>
      <c r="S19" s="357">
        <f t="shared" si="0"/>
        <v>3.3742913389791247</v>
      </c>
      <c r="T19" s="357">
        <f t="shared" si="0"/>
        <v>9.2375120606478287</v>
      </c>
      <c r="U19" s="357">
        <f t="shared" si="0"/>
        <v>10.033858845370702</v>
      </c>
      <c r="V19" s="357">
        <f t="shared" si="1"/>
        <v>15.646957566052842</v>
      </c>
      <c r="W19" s="357">
        <f t="shared" si="1"/>
        <v>17.641846959347635</v>
      </c>
      <c r="X19" s="360" t="s">
        <v>406</v>
      </c>
      <c r="Z19" s="358">
        <v>3.3</v>
      </c>
      <c r="AA19" s="344"/>
      <c r="AB19" s="359">
        <v>9.1999999999999993</v>
      </c>
      <c r="AC19" s="344"/>
      <c r="AD19" s="359">
        <v>15.6</v>
      </c>
      <c r="AE19" s="344"/>
      <c r="AF19" s="345" t="s">
        <v>388</v>
      </c>
    </row>
    <row r="20" spans="2:32">
      <c r="B20" s="360" t="s">
        <v>407</v>
      </c>
      <c r="C20" s="354" t="s">
        <v>212</v>
      </c>
      <c r="D20" s="354" t="s">
        <v>387</v>
      </c>
      <c r="E20" s="354">
        <f>200.2*183.1</f>
        <v>36656.619999999995</v>
      </c>
      <c r="F20" s="355">
        <v>2812</v>
      </c>
      <c r="G20" s="355">
        <v>9.6</v>
      </c>
      <c r="H20" s="355">
        <v>0</v>
      </c>
      <c r="I20" s="355">
        <v>0</v>
      </c>
      <c r="J20" s="354">
        <f t="shared" si="2"/>
        <v>39478.219999999994</v>
      </c>
      <c r="K20" s="356">
        <f t="shared" si="3"/>
        <v>7.6691843337000659E-2</v>
      </c>
      <c r="L20" s="355">
        <v>5095</v>
      </c>
      <c r="M20" s="355">
        <v>5910.6</v>
      </c>
      <c r="N20" s="355">
        <v>1773</v>
      </c>
      <c r="O20" s="355">
        <v>2245.1</v>
      </c>
      <c r="P20" s="355">
        <v>939</v>
      </c>
      <c r="Q20" s="355">
        <v>1216</v>
      </c>
      <c r="R20" s="357">
        <f>+$J20/L20</f>
        <v>7.7484239450441601</v>
      </c>
      <c r="S20" s="357">
        <f t="shared" si="0"/>
        <v>6.6792237674686143</v>
      </c>
      <c r="T20" s="357">
        <f t="shared" si="0"/>
        <v>22.266339537507047</v>
      </c>
      <c r="U20" s="357">
        <f t="shared" si="0"/>
        <v>17.58416997015723</v>
      </c>
      <c r="V20" s="357">
        <f t="shared" si="1"/>
        <v>39.037933972310967</v>
      </c>
      <c r="W20" s="357">
        <f t="shared" si="1"/>
        <v>30.145246710526312</v>
      </c>
      <c r="X20" s="360" t="s">
        <v>407</v>
      </c>
      <c r="Z20" s="358">
        <v>7.5</v>
      </c>
      <c r="AA20" s="344"/>
      <c r="AB20" s="359">
        <v>21.4</v>
      </c>
      <c r="AC20" s="344"/>
      <c r="AD20" s="359">
        <v>39.299999999999997</v>
      </c>
      <c r="AE20" s="344"/>
      <c r="AF20" s="345"/>
    </row>
    <row r="21" spans="2:32">
      <c r="B21" s="361" t="s">
        <v>216</v>
      </c>
      <c r="C21" s="362"/>
      <c r="D21" s="362"/>
      <c r="E21" s="362"/>
      <c r="F21" s="362"/>
      <c r="G21" s="362"/>
      <c r="H21" s="362"/>
      <c r="I21" s="362"/>
      <c r="J21" s="362"/>
      <c r="K21" s="362"/>
      <c r="L21" s="362"/>
      <c r="M21" s="362"/>
      <c r="N21" s="362"/>
      <c r="O21" s="362"/>
      <c r="P21" s="362"/>
      <c r="Q21" s="362"/>
      <c r="R21" s="363">
        <f>+AVERAGE(R10:R11,R13:R16)</f>
        <v>2.6877605316856066</v>
      </c>
      <c r="S21" s="363">
        <f t="shared" ref="S21:W21" si="4">+AVERAGE(S10:S11,S13:S16)</f>
        <v>2.4789785944009686</v>
      </c>
      <c r="T21" s="363">
        <f t="shared" si="4"/>
        <v>10.706483899098496</v>
      </c>
      <c r="U21" s="363">
        <f t="shared" si="4"/>
        <v>10.376680871039055</v>
      </c>
      <c r="V21" s="363">
        <f t="shared" si="4"/>
        <v>31.625434811107013</v>
      </c>
      <c r="W21" s="363">
        <f t="shared" si="4"/>
        <v>34.199533481026378</v>
      </c>
      <c r="Z21" s="364">
        <f>AVERAGE(Z10:Z20)</f>
        <v>4.3936280704259829</v>
      </c>
      <c r="AA21" s="344"/>
      <c r="AB21" s="365">
        <f>AVERAGE(AB10:AB20)</f>
        <v>13.572210991815542</v>
      </c>
      <c r="AC21" s="344"/>
      <c r="AD21" s="365">
        <f>AVERAGE(AD10:AD20)</f>
        <v>31.6</v>
      </c>
      <c r="AE21" s="344"/>
      <c r="AF21" s="345"/>
    </row>
    <row r="22" spans="2:32" ht="16" thickBot="1">
      <c r="B22" s="366" t="s">
        <v>309</v>
      </c>
      <c r="R22" s="367">
        <f>+MEDIAN(R10:R11,R13:R16)</f>
        <v>2.4238295982378695</v>
      </c>
      <c r="S22" s="367">
        <f t="shared" ref="S22:W22" si="5">+MEDIAN(S10:S11,S13:S16)</f>
        <v>2.4697362608290878</v>
      </c>
      <c r="T22" s="367">
        <f t="shared" si="5"/>
        <v>9.6187297817904884</v>
      </c>
      <c r="U22" s="367">
        <f t="shared" si="5"/>
        <v>10.021382669822984</v>
      </c>
      <c r="V22" s="367">
        <f t="shared" si="5"/>
        <v>30.796933752168727</v>
      </c>
      <c r="W22" s="367">
        <f t="shared" si="5"/>
        <v>23.672896454309779</v>
      </c>
      <c r="Z22" s="368">
        <f>MEDIAN(Z10:Z16)</f>
        <v>2.4699087746858166</v>
      </c>
      <c r="AA22" s="369"/>
      <c r="AB22" s="370">
        <f>MEDIAN(AB10:AB16)</f>
        <v>10.29</v>
      </c>
      <c r="AC22" s="369"/>
      <c r="AD22" s="370">
        <f>MEDIAN(AD10:AD16)</f>
        <v>28.9</v>
      </c>
      <c r="AE22" s="369"/>
      <c r="AF22" s="371"/>
    </row>
    <row r="23" spans="2:32">
      <c r="B23" s="366"/>
      <c r="M23" s="367"/>
      <c r="N23" s="367"/>
      <c r="O23" s="367"/>
      <c r="P23" s="367"/>
      <c r="Q23" s="367"/>
      <c r="R23" s="367"/>
    </row>
    <row r="24" spans="2:32">
      <c r="B24" s="366"/>
      <c r="C24" s="372"/>
      <c r="D24" s="372" t="s">
        <v>408</v>
      </c>
      <c r="E24" s="355">
        <v>268.97427399999998</v>
      </c>
      <c r="F24" s="372"/>
      <c r="G24" s="372"/>
      <c r="H24" s="372"/>
      <c r="I24" s="372"/>
      <c r="J24" s="372"/>
      <c r="K24" s="372"/>
      <c r="M24" s="367"/>
      <c r="N24" s="367"/>
      <c r="O24" s="367"/>
      <c r="P24" s="367"/>
      <c r="Q24" s="367"/>
      <c r="R24" s="367"/>
    </row>
    <row r="25" spans="2:32">
      <c r="B25" s="366"/>
      <c r="C25" s="372"/>
      <c r="D25" s="372" t="s">
        <v>409</v>
      </c>
      <c r="E25" s="355">
        <v>49.5</v>
      </c>
      <c r="F25" s="372"/>
      <c r="G25" s="372"/>
      <c r="H25" s="372"/>
      <c r="I25" s="372"/>
      <c r="J25" s="372"/>
      <c r="K25" s="372"/>
      <c r="M25" s="367"/>
      <c r="N25" s="367"/>
      <c r="O25" s="367"/>
      <c r="P25" s="367"/>
      <c r="Q25" s="367"/>
      <c r="R25" s="367"/>
    </row>
    <row r="26" spans="2:32">
      <c r="B26" s="373" t="s">
        <v>2</v>
      </c>
      <c r="C26" s="374" t="s">
        <v>212</v>
      </c>
      <c r="D26" s="374" t="s">
        <v>387</v>
      </c>
      <c r="E26" s="375">
        <f>E25*E24</f>
        <v>13314.226562999998</v>
      </c>
      <c r="F26" s="375">
        <v>30.641963000000032</v>
      </c>
      <c r="G26" s="375">
        <v>0.11600000000000001</v>
      </c>
      <c r="H26" s="375">
        <v>39.297001000000002</v>
      </c>
      <c r="I26" s="375"/>
      <c r="J26" s="375">
        <f>SUM(E26:I26)</f>
        <v>13384.281526999999</v>
      </c>
      <c r="K26" s="376">
        <f t="shared" ref="K26" si="6">F26/(E26+G26+I26)</f>
        <v>2.3014251627528925E-3</v>
      </c>
      <c r="L26" s="377">
        <v>2602.89</v>
      </c>
      <c r="M26" s="377">
        <v>2960.39</v>
      </c>
      <c r="N26" s="377">
        <v>1039.5</v>
      </c>
      <c r="O26" s="377">
        <v>1193.8</v>
      </c>
      <c r="P26" s="377">
        <v>606.70000000000005</v>
      </c>
      <c r="Q26" s="377">
        <v>608.62</v>
      </c>
      <c r="R26" s="378">
        <f>+$J26/L26</f>
        <v>5.1420849620998199</v>
      </c>
      <c r="S26" s="378">
        <f>+$J26/M26</f>
        <v>4.521121043848952</v>
      </c>
      <c r="T26" s="378">
        <f>+$J26/N26</f>
        <v>12.875691704665703</v>
      </c>
      <c r="U26" s="378">
        <f>+$J26/O26</f>
        <v>11.211493991455855</v>
      </c>
      <c r="V26" s="378">
        <f>+$E26/P26</f>
        <v>21.945321514751932</v>
      </c>
      <c r="W26" s="378">
        <f>+$E26/Q26</f>
        <v>21.87609109625053</v>
      </c>
    </row>
    <row r="29" spans="2:32" ht="36">
      <c r="B29" s="379" t="s">
        <v>310</v>
      </c>
      <c r="C29" s="347"/>
      <c r="D29" s="347"/>
      <c r="E29" s="348" t="s">
        <v>410</v>
      </c>
      <c r="F29" s="348" t="s">
        <v>410</v>
      </c>
      <c r="G29" s="348" t="s">
        <v>411</v>
      </c>
      <c r="H29" s="348" t="s">
        <v>411</v>
      </c>
      <c r="I29" s="348" t="s">
        <v>311</v>
      </c>
      <c r="J29" s="348" t="s">
        <v>311</v>
      </c>
      <c r="K29" s="348" t="s">
        <v>312</v>
      </c>
      <c r="L29" s="348" t="s">
        <v>312</v>
      </c>
      <c r="M29" s="348" t="s">
        <v>315</v>
      </c>
      <c r="N29" s="348" t="s">
        <v>315</v>
      </c>
      <c r="O29" s="348" t="s">
        <v>316</v>
      </c>
      <c r="P29" s="348" t="s">
        <v>316</v>
      </c>
      <c r="S29" s="380" t="s">
        <v>412</v>
      </c>
      <c r="T29" s="380" t="s">
        <v>413</v>
      </c>
      <c r="U29" s="380"/>
      <c r="V29" s="380"/>
      <c r="W29" s="380"/>
      <c r="X29" s="380"/>
      <c r="Y29" s="380"/>
    </row>
    <row r="30" spans="2:32" ht="25">
      <c r="B30" s="381" t="s">
        <v>317</v>
      </c>
      <c r="E30" s="382" t="s">
        <v>216</v>
      </c>
      <c r="F30" s="382" t="s">
        <v>309</v>
      </c>
      <c r="G30" s="382" t="s">
        <v>216</v>
      </c>
      <c r="H30" s="382" t="s">
        <v>309</v>
      </c>
      <c r="I30" s="382" t="s">
        <v>216</v>
      </c>
      <c r="J30" s="382" t="s">
        <v>309</v>
      </c>
      <c r="K30" s="382" t="s">
        <v>216</v>
      </c>
      <c r="L30" s="382" t="s">
        <v>309</v>
      </c>
      <c r="M30" s="382" t="s">
        <v>216</v>
      </c>
      <c r="N30" s="382" t="s">
        <v>309</v>
      </c>
      <c r="O30" s="382" t="s">
        <v>216</v>
      </c>
      <c r="P30" s="382" t="s">
        <v>309</v>
      </c>
    </row>
    <row r="31" spans="2:32" ht="61">
      <c r="B31" s="383" t="s">
        <v>318</v>
      </c>
      <c r="C31" s="384"/>
      <c r="D31" s="384"/>
      <c r="E31" s="385" t="s">
        <v>414</v>
      </c>
      <c r="F31" s="385" t="s">
        <v>414</v>
      </c>
      <c r="G31" s="385" t="s">
        <v>415</v>
      </c>
      <c r="H31" s="385" t="s">
        <v>415</v>
      </c>
      <c r="I31" s="385" t="s">
        <v>319</v>
      </c>
      <c r="J31" s="385" t="s">
        <v>319</v>
      </c>
      <c r="K31" s="385" t="s">
        <v>320</v>
      </c>
      <c r="L31" s="385" t="s">
        <v>320</v>
      </c>
      <c r="M31" s="385" t="s">
        <v>323</v>
      </c>
      <c r="N31" s="385" t="s">
        <v>323</v>
      </c>
      <c r="O31" s="385" t="s">
        <v>324</v>
      </c>
      <c r="P31" s="385" t="s">
        <v>324</v>
      </c>
    </row>
    <row r="32" spans="2:32">
      <c r="B32" s="386" t="s">
        <v>318</v>
      </c>
      <c r="C32" s="387"/>
      <c r="D32" s="387"/>
      <c r="E32" s="387">
        <f>L26</f>
        <v>2602.89</v>
      </c>
      <c r="F32" s="387">
        <f>L26</f>
        <v>2602.89</v>
      </c>
      <c r="G32" s="387">
        <f>M26</f>
        <v>2960.39</v>
      </c>
      <c r="H32" s="387">
        <f>M26</f>
        <v>2960.39</v>
      </c>
      <c r="I32" s="387">
        <f>N26</f>
        <v>1039.5</v>
      </c>
      <c r="J32" s="387">
        <f>N26</f>
        <v>1039.5</v>
      </c>
      <c r="K32" s="387">
        <f>O26</f>
        <v>1193.8</v>
      </c>
      <c r="L32" s="387">
        <f>O26</f>
        <v>1193.8</v>
      </c>
      <c r="M32" s="387">
        <f>P26</f>
        <v>606.70000000000005</v>
      </c>
      <c r="N32" s="387">
        <f>P26</f>
        <v>606.70000000000005</v>
      </c>
      <c r="O32" s="387">
        <f>Q26</f>
        <v>608.62</v>
      </c>
      <c r="P32" s="387">
        <f>Q26</f>
        <v>608.62</v>
      </c>
    </row>
    <row r="33" spans="2:16">
      <c r="B33" s="386" t="s">
        <v>325</v>
      </c>
      <c r="C33" s="388"/>
      <c r="D33" s="388"/>
      <c r="E33" s="388">
        <f>+R21</f>
        <v>2.6877605316856066</v>
      </c>
      <c r="F33" s="388">
        <f>+R22</f>
        <v>2.4238295982378695</v>
      </c>
      <c r="G33" s="388">
        <f>+S21</f>
        <v>2.4789785944009686</v>
      </c>
      <c r="H33" s="388">
        <f>+S22</f>
        <v>2.4697362608290878</v>
      </c>
      <c r="I33" s="388">
        <f>+T21</f>
        <v>10.706483899098496</v>
      </c>
      <c r="J33" s="388">
        <f>+T22</f>
        <v>9.6187297817904884</v>
      </c>
      <c r="K33" s="388">
        <f>+U21</f>
        <v>10.376680871039055</v>
      </c>
      <c r="L33" s="388">
        <f>+U22</f>
        <v>10.021382669822984</v>
      </c>
      <c r="M33" s="388">
        <f>+V21</f>
        <v>31.625434811107013</v>
      </c>
      <c r="N33" s="388">
        <f>+V22</f>
        <v>30.796933752168727</v>
      </c>
      <c r="O33" s="388">
        <f>+W21</f>
        <v>34.199533481026378</v>
      </c>
      <c r="P33" s="388">
        <f>+W22</f>
        <v>23.672896454309779</v>
      </c>
    </row>
    <row r="34" spans="2:16">
      <c r="B34" s="389" t="s">
        <v>269</v>
      </c>
      <c r="C34" s="390"/>
      <c r="D34" s="390"/>
      <c r="E34" s="390">
        <f t="shared" ref="E34:H34" si="7">+E33*E32</f>
        <v>6995.9450103191484</v>
      </c>
      <c r="F34" s="390">
        <f t="shared" si="7"/>
        <v>6308.961822957368</v>
      </c>
      <c r="G34" s="390">
        <f t="shared" si="7"/>
        <v>7338.7434410786827</v>
      </c>
      <c r="H34" s="390">
        <f t="shared" si="7"/>
        <v>7311.3825291958228</v>
      </c>
      <c r="I34" s="390">
        <f>+I33*I32</f>
        <v>11129.390013112887</v>
      </c>
      <c r="J34" s="390">
        <f>+J33*J32</f>
        <v>9998.6696081712125</v>
      </c>
      <c r="K34" s="390">
        <f>+K33*K32</f>
        <v>12387.681623846423</v>
      </c>
      <c r="L34" s="390">
        <f>+L33*L32</f>
        <v>11963.526631234678</v>
      </c>
      <c r="M34" s="390"/>
      <c r="N34" s="390"/>
      <c r="O34" s="390"/>
      <c r="P34" s="390"/>
    </row>
    <row r="35" spans="2:16">
      <c r="K35" s="391"/>
      <c r="L35" s="391"/>
    </row>
    <row r="36" spans="2:16">
      <c r="B36" s="392" t="s">
        <v>270</v>
      </c>
      <c r="C36" s="393"/>
      <c r="D36" s="393"/>
      <c r="E36" s="393">
        <v>30.641963000000032</v>
      </c>
      <c r="F36" s="393">
        <v>30.641963000000032</v>
      </c>
      <c r="G36" s="393">
        <v>30.641963000000032</v>
      </c>
      <c r="H36" s="393">
        <v>30.641963000000032</v>
      </c>
      <c r="I36" s="393">
        <v>30.641963000000032</v>
      </c>
      <c r="J36" s="393">
        <v>30.641963000000032</v>
      </c>
      <c r="K36" s="393">
        <v>30.641963000000032</v>
      </c>
      <c r="L36" s="393">
        <v>30.641963000000032</v>
      </c>
      <c r="M36" s="372"/>
      <c r="N36" s="372"/>
      <c r="O36" s="372"/>
      <c r="P36" s="372"/>
    </row>
    <row r="37" spans="2:16">
      <c r="B37" s="392" t="s">
        <v>271</v>
      </c>
      <c r="C37" s="393"/>
      <c r="D37" s="393"/>
      <c r="E37" s="393">
        <v>19.824998000000001</v>
      </c>
      <c r="F37" s="393">
        <v>19.824998000000001</v>
      </c>
      <c r="G37" s="393">
        <v>19.824998000000001</v>
      </c>
      <c r="H37" s="393">
        <v>19.824998000000001</v>
      </c>
      <c r="I37" s="393">
        <v>19.824998000000001</v>
      </c>
      <c r="J37" s="393">
        <v>19.824998000000001</v>
      </c>
      <c r="K37" s="393">
        <v>19.824998000000001</v>
      </c>
      <c r="L37" s="393">
        <v>19.824998000000001</v>
      </c>
      <c r="M37" s="372"/>
      <c r="N37" s="372"/>
      <c r="O37" s="372"/>
      <c r="P37" s="372"/>
    </row>
    <row r="38" spans="2:16">
      <c r="B38" s="392" t="s">
        <v>272</v>
      </c>
      <c r="C38" s="393"/>
      <c r="D38" s="393"/>
      <c r="E38" s="393">
        <v>0.11600000000000001</v>
      </c>
      <c r="F38" s="393">
        <v>0.11600000000000001</v>
      </c>
      <c r="G38" s="393">
        <v>0.11600000000000001</v>
      </c>
      <c r="H38" s="393">
        <v>0.11600000000000001</v>
      </c>
      <c r="I38" s="393">
        <v>0.11600000000000001</v>
      </c>
      <c r="J38" s="393">
        <v>0.11600000000000001</v>
      </c>
      <c r="K38" s="393">
        <v>0.11600000000000001</v>
      </c>
      <c r="L38" s="393">
        <v>0.11600000000000001</v>
      </c>
      <c r="M38" s="393">
        <v>0.11600000000000001</v>
      </c>
      <c r="N38" s="393">
        <v>0.11600000000000001</v>
      </c>
      <c r="O38" s="393">
        <v>0.11600000000000001</v>
      </c>
      <c r="P38" s="393">
        <v>0.11600000000000001</v>
      </c>
    </row>
    <row r="39" spans="2:16">
      <c r="B39" s="389" t="s">
        <v>273</v>
      </c>
      <c r="C39" s="390"/>
      <c r="D39" s="390"/>
      <c r="E39" s="390">
        <f t="shared" ref="E39:H39" si="8">+SUM(E34:E38)</f>
        <v>7046.5279713191485</v>
      </c>
      <c r="F39" s="390">
        <f t="shared" si="8"/>
        <v>6359.5447839573681</v>
      </c>
      <c r="G39" s="390">
        <f t="shared" si="8"/>
        <v>7389.3264020786828</v>
      </c>
      <c r="H39" s="390">
        <f t="shared" si="8"/>
        <v>7361.9654901958229</v>
      </c>
      <c r="I39" s="390">
        <f>+SUM(I34:I38)</f>
        <v>11179.972974112887</v>
      </c>
      <c r="J39" s="390">
        <f>+SUM(J34:J38)</f>
        <v>10049.252569171213</v>
      </c>
      <c r="K39" s="390">
        <f>+SUM(K34:K38)</f>
        <v>12438.264584846424</v>
      </c>
      <c r="L39" s="390">
        <f>+SUM(L34:L38)</f>
        <v>12014.109592234678</v>
      </c>
      <c r="M39" s="390">
        <f>+M33*M32-M38</f>
        <v>19187.035299898624</v>
      </c>
      <c r="N39" s="390">
        <f t="shared" ref="N39" si="9">+N33*N32-N38</f>
        <v>18684.383707440767</v>
      </c>
      <c r="O39" s="390">
        <f>+O33*O32-O38</f>
        <v>20814.404067222273</v>
      </c>
      <c r="P39" s="390">
        <f>+P33*P32-P38</f>
        <v>14407.682240022017</v>
      </c>
    </row>
    <row r="40" spans="2:16">
      <c r="M40" s="391"/>
      <c r="N40" s="391"/>
      <c r="O40" s="391"/>
      <c r="P40" s="391"/>
    </row>
    <row r="41" spans="2:16">
      <c r="B41" s="392" t="s">
        <v>139</v>
      </c>
      <c r="M41" s="393">
        <v>30.641963000000032</v>
      </c>
      <c r="N41" s="393">
        <f>[2]Output!$I$65</f>
        <v>1270.4000000000001</v>
      </c>
      <c r="O41" s="393">
        <f>[2]Output!$I$65</f>
        <v>1270.4000000000001</v>
      </c>
      <c r="P41" s="393">
        <f>[2]Output!$I$65</f>
        <v>1270.4000000000001</v>
      </c>
    </row>
    <row r="42" spans="2:16">
      <c r="B42" s="392" t="s">
        <v>327</v>
      </c>
      <c r="M42" s="393">
        <v>19.824998000000001</v>
      </c>
      <c r="N42" s="393">
        <v>19.824998000000001</v>
      </c>
      <c r="O42" s="393">
        <v>19.824998000000001</v>
      </c>
      <c r="P42" s="393">
        <v>19.824998000000001</v>
      </c>
    </row>
    <row r="43" spans="2:16">
      <c r="B43" s="392" t="s">
        <v>142</v>
      </c>
      <c r="M43" s="393">
        <v>0.11600000000000001</v>
      </c>
      <c r="N43" s="393">
        <v>0.11600000000000001</v>
      </c>
      <c r="O43" s="393">
        <v>0.11600000000000001</v>
      </c>
      <c r="P43" s="393">
        <v>0.11600000000000001</v>
      </c>
    </row>
    <row r="44" spans="2:16">
      <c r="B44" s="389" t="s">
        <v>269</v>
      </c>
      <c r="C44" s="390"/>
      <c r="D44" s="390"/>
      <c r="E44" s="390"/>
      <c r="F44" s="390"/>
      <c r="G44" s="390"/>
      <c r="H44" s="390"/>
      <c r="I44" s="390"/>
      <c r="J44" s="390"/>
      <c r="K44" s="390"/>
      <c r="L44" s="390"/>
      <c r="M44" s="390">
        <f>+M39+SUM(M41:M43)</f>
        <v>19237.618260898624</v>
      </c>
      <c r="N44" s="390">
        <f>+N39+SUM(N41:N43)</f>
        <v>19974.724705440767</v>
      </c>
      <c r="O44" s="390">
        <f>+O39+SUM(O41:O43)</f>
        <v>22104.745065222272</v>
      </c>
      <c r="P44" s="390">
        <f>+P39+SUM(P41:P43)</f>
        <v>15698.023238022017</v>
      </c>
    </row>
    <row r="46" spans="2:16">
      <c r="B46" s="392" t="s">
        <v>416</v>
      </c>
      <c r="E46" s="394"/>
      <c r="F46" s="394"/>
      <c r="G46" s="394"/>
      <c r="H46" s="394"/>
      <c r="I46" s="394"/>
      <c r="J46" s="394"/>
      <c r="K46" s="394"/>
      <c r="L46" s="394"/>
      <c r="M46" s="395"/>
      <c r="N46" s="395"/>
      <c r="O46" s="395"/>
      <c r="P46" s="395"/>
    </row>
    <row r="47" spans="2:16">
      <c r="B47" s="392" t="s">
        <v>417</v>
      </c>
      <c r="E47" s="394"/>
      <c r="F47" s="394"/>
      <c r="G47" s="394"/>
      <c r="H47" s="394"/>
      <c r="I47" s="394"/>
      <c r="J47" s="394"/>
      <c r="K47" s="394"/>
      <c r="L47" s="394"/>
      <c r="M47" s="395"/>
      <c r="N47" s="395"/>
      <c r="O47" s="395"/>
      <c r="P47" s="395"/>
    </row>
    <row r="48" spans="2:16">
      <c r="B48" s="392" t="s">
        <v>418</v>
      </c>
      <c r="E48" s="394"/>
      <c r="F48" s="394"/>
      <c r="G48" s="394"/>
      <c r="H48" s="394"/>
      <c r="I48" s="394"/>
      <c r="J48" s="394"/>
      <c r="K48" s="394"/>
      <c r="L48" s="394"/>
      <c r="M48" s="395"/>
      <c r="N48" s="395"/>
      <c r="O48" s="395"/>
      <c r="P48" s="395"/>
    </row>
    <row r="50" spans="1:18" ht="60">
      <c r="B50" s="396" t="s">
        <v>329</v>
      </c>
      <c r="C50" s="347"/>
      <c r="D50" s="347"/>
      <c r="E50" s="348"/>
      <c r="F50" s="348"/>
      <c r="G50" s="348"/>
      <c r="H50" s="348"/>
      <c r="I50" s="348"/>
      <c r="J50" s="348"/>
      <c r="K50" s="348"/>
      <c r="L50" s="348"/>
      <c r="M50" s="348" t="s">
        <v>383</v>
      </c>
      <c r="N50" s="348" t="s">
        <v>384</v>
      </c>
      <c r="O50" s="348" t="s">
        <v>303</v>
      </c>
      <c r="P50" s="348" t="s">
        <v>304</v>
      </c>
      <c r="Q50" s="348" t="s">
        <v>307</v>
      </c>
      <c r="R50" s="348" t="s">
        <v>308</v>
      </c>
    </row>
    <row r="52" spans="1:18">
      <c r="B52" s="366" t="s">
        <v>330</v>
      </c>
      <c r="M52" s="397">
        <f t="shared" ref="M52:R52" si="10">+SLOPE(R10:R16,L10:L16)</f>
        <v>2.0611914400857366E-5</v>
      </c>
      <c r="N52" s="397">
        <f t="shared" si="10"/>
        <v>1.4208061940968002E-5</v>
      </c>
      <c r="O52" s="397">
        <f t="shared" si="10"/>
        <v>-6.9427084624381136E-5</v>
      </c>
      <c r="P52" s="397">
        <f t="shared" si="10"/>
        <v>-1.3957062568383135E-4</v>
      </c>
      <c r="Q52" s="397">
        <f t="shared" si="10"/>
        <v>-1.9926739623785414E-3</v>
      </c>
      <c r="R52" s="397">
        <f t="shared" si="10"/>
        <v>-3.3786343071795046E-3</v>
      </c>
    </row>
    <row r="53" spans="1:18">
      <c r="B53" s="366" t="s">
        <v>331</v>
      </c>
      <c r="M53" s="391">
        <f t="shared" ref="M53:R53" si="11">+INTERCEPT(R10:R16,L10:L16)</f>
        <v>2.6833801408746156</v>
      </c>
      <c r="N53" s="391">
        <f t="shared" si="11"/>
        <v>2.4755022012946748</v>
      </c>
      <c r="O53" s="391">
        <f t="shared" si="11"/>
        <v>10.77872890171831</v>
      </c>
      <c r="P53" s="391">
        <f>+INTERCEPT(U10:U16,O10:O16)</f>
        <v>10.47614276977284</v>
      </c>
      <c r="Q53" s="391">
        <f t="shared" si="11"/>
        <v>32.78174800121451</v>
      </c>
      <c r="R53" s="391">
        <f t="shared" si="11"/>
        <v>35.538134503467163</v>
      </c>
    </row>
    <row r="54" spans="1:18">
      <c r="B54" s="361" t="s">
        <v>332</v>
      </c>
      <c r="C54" s="362"/>
      <c r="D54" s="362"/>
      <c r="E54" s="362"/>
      <c r="F54" s="362"/>
      <c r="G54" s="362"/>
      <c r="H54" s="362"/>
      <c r="I54" s="362"/>
      <c r="J54" s="362"/>
      <c r="K54" s="362"/>
      <c r="L54" s="362"/>
      <c r="M54" s="398">
        <f>+M53+M52*E32</f>
        <v>2.7370306867494634</v>
      </c>
      <c r="N54" s="398">
        <f>+N53+N52*H32</f>
        <v>2.5175636057840971</v>
      </c>
      <c r="O54" s="398">
        <f>+O53+O52*I32</f>
        <v>10.706559447251266</v>
      </c>
      <c r="P54" s="398">
        <f>+P53+P52*K32</f>
        <v>10.309523356831482</v>
      </c>
      <c r="Q54" s="398">
        <f>+Q53+Q52*M32</f>
        <v>31.572792708239447</v>
      </c>
      <c r="R54" s="398">
        <f>+R53+R52*O32</f>
        <v>33.481830091431576</v>
      </c>
    </row>
    <row r="55" spans="1:18">
      <c r="B55" s="366" t="s">
        <v>333</v>
      </c>
      <c r="C55" s="399"/>
      <c r="D55" s="399"/>
      <c r="E55" s="399"/>
      <c r="F55" s="399"/>
      <c r="G55" s="399"/>
      <c r="H55" s="399"/>
      <c r="I55" s="399"/>
      <c r="J55" s="399"/>
      <c r="K55" s="399"/>
      <c r="L55" s="399"/>
      <c r="M55" s="400">
        <f>+RSQ(R10:R16,L10:L16)</f>
        <v>2.8734716434019324E-2</v>
      </c>
      <c r="N55" s="400">
        <f t="shared" ref="N55:R55" si="12">+RSQ(S10:S16,M10:M16)</f>
        <v>2.8824742629301941E-2</v>
      </c>
      <c r="O55" s="400">
        <f t="shared" si="12"/>
        <v>6.5589471036411537E-3</v>
      </c>
      <c r="P55" s="400">
        <f t="shared" si="12"/>
        <v>4.9562019856319132E-2</v>
      </c>
      <c r="Q55" s="400">
        <f t="shared" si="12"/>
        <v>2.9500947219664807E-2</v>
      </c>
      <c r="R55" s="400">
        <f t="shared" si="12"/>
        <v>6.79979936377412E-2</v>
      </c>
    </row>
    <row r="58" spans="1:18" ht="36">
      <c r="B58" s="348" t="s">
        <v>410</v>
      </c>
      <c r="C58" s="348" t="s">
        <v>411</v>
      </c>
      <c r="D58" s="348" t="s">
        <v>311</v>
      </c>
      <c r="E58" s="348" t="s">
        <v>312</v>
      </c>
      <c r="F58" s="348" t="s">
        <v>315</v>
      </c>
      <c r="G58" s="348" t="s">
        <v>316</v>
      </c>
    </row>
    <row r="59" spans="1:18">
      <c r="B59" s="401">
        <f>E39</f>
        <v>7046.5279713191485</v>
      </c>
      <c r="C59" s="401">
        <f>G39</f>
        <v>7389.3264020786828</v>
      </c>
      <c r="D59" s="401">
        <f>I39</f>
        <v>11179.972974112887</v>
      </c>
      <c r="E59" s="401">
        <f>K39</f>
        <v>12438.264584846424</v>
      </c>
      <c r="F59" s="401">
        <f>M39</f>
        <v>19187.035299898624</v>
      </c>
      <c r="G59" s="401">
        <f>O39</f>
        <v>20814.404067222273</v>
      </c>
    </row>
    <row r="60" spans="1:18">
      <c r="B60" s="401">
        <f>F39</f>
        <v>6359.5447839573681</v>
      </c>
      <c r="C60" s="401">
        <f>H39</f>
        <v>7361.9654901958229</v>
      </c>
      <c r="D60" s="401">
        <f>J39</f>
        <v>10049.252569171213</v>
      </c>
      <c r="E60" s="401">
        <f>L39</f>
        <v>12014.109592234678</v>
      </c>
      <c r="F60" s="401">
        <f>N39</f>
        <v>18684.383707440767</v>
      </c>
      <c r="G60" s="401">
        <f>P39</f>
        <v>14407.682240022017</v>
      </c>
    </row>
    <row r="61" spans="1:18">
      <c r="B61" s="401"/>
      <c r="C61" s="401"/>
      <c r="D61" s="401"/>
      <c r="E61" s="401"/>
      <c r="F61" s="401"/>
      <c r="G61" s="401"/>
    </row>
    <row r="62" spans="1:18">
      <c r="A62" s="326" t="s">
        <v>337</v>
      </c>
      <c r="B62" s="401">
        <f t="shared" ref="B62:G62" si="13">MIN(B59:B60)</f>
        <v>6359.5447839573681</v>
      </c>
      <c r="C62" s="401">
        <f t="shared" si="13"/>
        <v>7361.9654901958229</v>
      </c>
      <c r="D62" s="401">
        <f t="shared" si="13"/>
        <v>10049.252569171213</v>
      </c>
      <c r="E62" s="401">
        <f t="shared" si="13"/>
        <v>12014.109592234678</v>
      </c>
      <c r="F62" s="401">
        <f t="shared" si="13"/>
        <v>18684.383707440767</v>
      </c>
      <c r="G62" s="401">
        <f t="shared" si="13"/>
        <v>14407.682240022017</v>
      </c>
    </row>
    <row r="63" spans="1:18">
      <c r="A63" s="326" t="s">
        <v>338</v>
      </c>
      <c r="B63" s="401">
        <f t="shared" ref="B63:G63" si="14">MAX(B59:B60)</f>
        <v>7046.5279713191485</v>
      </c>
      <c r="C63" s="401">
        <f t="shared" si="14"/>
        <v>7389.3264020786828</v>
      </c>
      <c r="D63" s="401">
        <f t="shared" si="14"/>
        <v>11179.972974112887</v>
      </c>
      <c r="E63" s="401">
        <f t="shared" si="14"/>
        <v>12438.264584846424</v>
      </c>
      <c r="F63" s="401">
        <f t="shared" si="14"/>
        <v>19187.035299898624</v>
      </c>
      <c r="G63" s="401">
        <f t="shared" si="14"/>
        <v>20814.404067222273</v>
      </c>
    </row>
    <row r="64" spans="1:18">
      <c r="A64" s="326" t="s">
        <v>339</v>
      </c>
      <c r="B64" s="401">
        <f>B63-B62</f>
        <v>686.98318736178044</v>
      </c>
      <c r="C64" s="401">
        <f t="shared" ref="C64:G64" si="15">C63-C62</f>
        <v>27.360911882859909</v>
      </c>
      <c r="D64" s="401">
        <f t="shared" si="15"/>
        <v>1130.7204049416741</v>
      </c>
      <c r="E64" s="401">
        <f t="shared" si="15"/>
        <v>424.15499261174591</v>
      </c>
      <c r="F64" s="401">
        <f t="shared" si="15"/>
        <v>502.65159245785617</v>
      </c>
      <c r="G64" s="401">
        <f t="shared" si="15"/>
        <v>6406.7218272002556</v>
      </c>
    </row>
    <row r="65" spans="1:7">
      <c r="A65" s="326" t="s">
        <v>419</v>
      </c>
      <c r="B65" s="401">
        <f>$E$26</f>
        <v>13314.226562999998</v>
      </c>
      <c r="C65" s="401">
        <f t="shared" ref="C65:G65" si="16">$E$26</f>
        <v>13314.226562999998</v>
      </c>
      <c r="D65" s="401">
        <f t="shared" si="16"/>
        <v>13314.226562999998</v>
      </c>
      <c r="E65" s="401">
        <f t="shared" si="16"/>
        <v>13314.226562999998</v>
      </c>
      <c r="F65" s="401">
        <f t="shared" si="16"/>
        <v>13314.226562999998</v>
      </c>
      <c r="G65" s="401">
        <f t="shared" si="16"/>
        <v>13314.226562999998</v>
      </c>
    </row>
    <row r="67" spans="1:7" ht="22.5" customHeight="1"/>
  </sheetData>
  <conditionalFormatting sqref="R10:R20">
    <cfRule type="top10" dxfId="5" priority="6" rank="6"/>
  </conditionalFormatting>
  <conditionalFormatting sqref="S10:S20">
    <cfRule type="top10" dxfId="4" priority="5" rank="6"/>
  </conditionalFormatting>
  <conditionalFormatting sqref="T10:T20">
    <cfRule type="top10" dxfId="3" priority="4" rank="6"/>
  </conditionalFormatting>
  <conditionalFormatting sqref="U10:U20">
    <cfRule type="top10" dxfId="2" priority="3" rank="6"/>
  </conditionalFormatting>
  <conditionalFormatting sqref="V10:V20">
    <cfRule type="top10" dxfId="1" priority="2" rank="6"/>
  </conditionalFormatting>
  <conditionalFormatting sqref="W10:W20">
    <cfRule type="top10" dxfId="0" priority="1" rank="6"/>
  </conditionalFormatting>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50"/>
  </sheetPr>
  <dimension ref="B2:J16"/>
  <sheetViews>
    <sheetView showGridLines="0" workbookViewId="0">
      <selection activeCell="B2" sqref="B2:J11"/>
    </sheetView>
  </sheetViews>
  <sheetFormatPr baseColWidth="10" defaultColWidth="8.75" defaultRowHeight="14.5" customHeight="1"/>
  <cols>
    <col min="2" max="2" width="22" bestFit="1" customWidth="1"/>
    <col min="3" max="3" width="12.5" customWidth="1"/>
    <col min="4" max="4" width="9.25" bestFit="1" customWidth="1"/>
    <col min="5" max="6" width="9.5" bestFit="1" customWidth="1"/>
    <col min="7" max="7" width="20.25" customWidth="1"/>
    <col min="8" max="8" width="9.5" bestFit="1" customWidth="1"/>
    <col min="9" max="9" width="13.25" customWidth="1"/>
    <col min="10" max="10" width="19" customWidth="1"/>
  </cols>
  <sheetData>
    <row r="2" spans="2:10" ht="36">
      <c r="B2" s="196" t="s">
        <v>420</v>
      </c>
      <c r="C2" s="208"/>
      <c r="D2" s="212" t="s">
        <v>421</v>
      </c>
      <c r="E2" s="212" t="s">
        <v>422</v>
      </c>
      <c r="F2" s="212" t="s">
        <v>423</v>
      </c>
      <c r="G2" s="212"/>
      <c r="H2" s="212" t="s">
        <v>90</v>
      </c>
      <c r="I2" s="212" t="s">
        <v>424</v>
      </c>
      <c r="J2" s="208"/>
    </row>
    <row r="3" spans="2:10" ht="5" customHeight="1"/>
    <row r="4" spans="2:10" s="6" customFormat="1" ht="23" customHeight="1">
      <c r="B4" s="210" t="e" vm="7">
        <f>+TradingMultiples!B19</f>
        <v>#VALUE!</v>
      </c>
      <c r="C4" s="213" t="str">
        <f>+TradingMultiples!C19</f>
        <v>Italy</v>
      </c>
      <c r="D4" s="214">
        <f>+TradingMultiples!G19</f>
        <v>1039.4568760000002</v>
      </c>
      <c r="E4" s="214">
        <f>+TradingMultiples!I19</f>
        <v>774.54687600000022</v>
      </c>
      <c r="F4" s="211">
        <f t="shared" ref="F4:F11" si="0">+E4/D4</f>
        <v>0.74514575244389458</v>
      </c>
      <c r="G4" s="211"/>
      <c r="H4" s="214">
        <f>+TradingMultiples!K19</f>
        <v>606.70587600000022</v>
      </c>
      <c r="I4" s="211">
        <f t="shared" ref="I4:I11" si="1">+H4/D4</f>
        <v>0.58367585034860081</v>
      </c>
      <c r="J4" s="211"/>
    </row>
    <row r="5" spans="2:10" s="6" customFormat="1" ht="23" customHeight="1">
      <c r="B5" s="210" t="e" vm="1">
        <f>+TradingMultiples!B10</f>
        <v>#VALUE!</v>
      </c>
      <c r="C5" s="213" t="str">
        <f>+TradingMultiples!C10</f>
        <v>Italy</v>
      </c>
      <c r="D5" s="214">
        <f>+TradingMultiples!I10</f>
        <v>58.23</v>
      </c>
      <c r="E5" s="214" t="e">
        <f>+TradingMultiples!#REF!</f>
        <v>#REF!</v>
      </c>
      <c r="F5" s="211" t="e">
        <f t="shared" si="0"/>
        <v>#REF!</v>
      </c>
      <c r="G5" s="211"/>
      <c r="H5" s="214">
        <f>+TradingMultiples!K10</f>
        <v>23.1</v>
      </c>
      <c r="I5" s="211">
        <f t="shared" si="1"/>
        <v>0.39670273055126226</v>
      </c>
      <c r="J5" s="211"/>
    </row>
    <row r="6" spans="2:10" s="6" customFormat="1" ht="23" customHeight="1">
      <c r="B6" s="210" t="e" vm="2">
        <f>+TradingMultiples!B11</f>
        <v>#VALUE!</v>
      </c>
      <c r="C6" s="213" t="str">
        <f>+TradingMultiples!C11</f>
        <v>United Kingdom</v>
      </c>
      <c r="D6" s="214">
        <f>+TradingMultiples!I11</f>
        <v>606.63</v>
      </c>
      <c r="E6" s="214" t="e">
        <f>+TradingMultiples!#REF!</f>
        <v>#REF!</v>
      </c>
      <c r="F6" s="211" t="e">
        <f t="shared" si="0"/>
        <v>#REF!</v>
      </c>
      <c r="G6" s="211"/>
      <c r="H6" s="214">
        <f>+TradingMultiples!K11</f>
        <v>467.07</v>
      </c>
      <c r="I6" s="211">
        <f t="shared" si="1"/>
        <v>0.76994213936007116</v>
      </c>
      <c r="J6" s="211"/>
    </row>
    <row r="7" spans="2:10" s="6" customFormat="1" ht="23" customHeight="1">
      <c r="B7" s="210" t="e" vm="3">
        <f>+TradingMultiples!B12</f>
        <v>#VALUE!</v>
      </c>
      <c r="C7" s="213" t="str">
        <f>+TradingMultiples!C12</f>
        <v>Italy</v>
      </c>
      <c r="D7" s="214">
        <f>+TradingMultiples!K12</f>
        <v>69.599999999999994</v>
      </c>
      <c r="E7" s="214" t="e">
        <f>+TradingMultiples!#REF!</f>
        <v>#REF!</v>
      </c>
      <c r="F7" s="211" t="e">
        <f t="shared" si="0"/>
        <v>#REF!</v>
      </c>
      <c r="G7" s="211"/>
      <c r="H7" s="214" t="e">
        <f>+TradingMultiples!#REF!</f>
        <v>#REF!</v>
      </c>
      <c r="I7" s="211" t="e">
        <f t="shared" si="1"/>
        <v>#REF!</v>
      </c>
      <c r="J7" s="211"/>
    </row>
    <row r="8" spans="2:10" s="6" customFormat="1" ht="23" customHeight="1">
      <c r="B8" s="210" t="e" vm="4">
        <f>+TradingMultiples!B13</f>
        <v>#VALUE!</v>
      </c>
      <c r="C8" s="213" t="str">
        <f>+TradingMultiples!C13</f>
        <v>Italy</v>
      </c>
      <c r="D8" s="214">
        <f>+TradingMultiples!K13</f>
        <v>80.599999999999994</v>
      </c>
      <c r="E8" s="214" t="e">
        <f>+TradingMultiples!#REF!</f>
        <v>#REF!</v>
      </c>
      <c r="F8" s="211" t="e">
        <f t="shared" si="0"/>
        <v>#REF!</v>
      </c>
      <c r="G8" s="211"/>
      <c r="H8" s="214" t="e">
        <f>+TradingMultiples!#REF!</f>
        <v>#REF!</v>
      </c>
      <c r="I8" s="211" t="e">
        <f t="shared" si="1"/>
        <v>#REF!</v>
      </c>
      <c r="J8" s="211"/>
    </row>
    <row r="9" spans="2:10" s="6" customFormat="1" ht="23" customHeight="1">
      <c r="B9" s="210" t="e" vm="5">
        <f>+TradingMultiples!B14</f>
        <v>#VALUE!</v>
      </c>
      <c r="C9" s="213" t="str">
        <f>+TradingMultiples!C14</f>
        <v>Canada</v>
      </c>
      <c r="D9" s="214">
        <f>+TradingMultiples!K14</f>
        <v>84.8</v>
      </c>
      <c r="E9" s="214" t="e">
        <f>+TradingMultiples!#REF!</f>
        <v>#REF!</v>
      </c>
      <c r="F9" s="211" t="e">
        <f t="shared" si="0"/>
        <v>#REF!</v>
      </c>
      <c r="G9" s="211"/>
      <c r="H9" s="214" t="e">
        <f>+TradingMultiples!#REF!</f>
        <v>#REF!</v>
      </c>
      <c r="I9" s="211" t="e">
        <f t="shared" si="1"/>
        <v>#REF!</v>
      </c>
      <c r="J9" s="211"/>
    </row>
    <row r="10" spans="2:10" s="6" customFormat="1" ht="23" customHeight="1">
      <c r="B10" s="210" t="e" vm="6">
        <f>+TradingMultiples!B15</f>
        <v>#VALUE!</v>
      </c>
      <c r="C10" s="213" t="str">
        <f>+TradingMultiples!C15</f>
        <v>United States</v>
      </c>
      <c r="D10" s="214">
        <f>+TradingMultiples!I15</f>
        <v>785.19</v>
      </c>
      <c r="E10" s="214" t="e">
        <f>+TradingMultiples!#REF!</f>
        <v>#REF!</v>
      </c>
      <c r="F10" s="211" t="e">
        <f t="shared" si="0"/>
        <v>#REF!</v>
      </c>
      <c r="G10" s="211"/>
      <c r="H10" s="214">
        <f>+TradingMultiples!K15</f>
        <v>587.36</v>
      </c>
      <c r="I10" s="211">
        <f t="shared" si="1"/>
        <v>0.74804824310039608</v>
      </c>
      <c r="J10" s="211"/>
    </row>
    <row r="11" spans="2:10" s="6" customFormat="1" ht="23" customHeight="1">
      <c r="B11" s="210" t="e">
        <f>+TradingMultiples!#REF!</f>
        <v>#REF!</v>
      </c>
      <c r="C11" s="213" t="e">
        <f>+TradingMultiples!#REF!</f>
        <v>#REF!</v>
      </c>
      <c r="D11" s="214" t="e">
        <f>+TradingMultiples!#REF!</f>
        <v>#REF!</v>
      </c>
      <c r="E11" s="214" t="e">
        <f>+TradingMultiples!#REF!</f>
        <v>#REF!</v>
      </c>
      <c r="F11" s="211" t="e">
        <f t="shared" si="0"/>
        <v>#REF!</v>
      </c>
      <c r="G11" s="211"/>
      <c r="H11" s="214" t="e">
        <f>+TradingMultiples!#REF!</f>
        <v>#REF!</v>
      </c>
      <c r="I11" s="211" t="e">
        <f t="shared" si="1"/>
        <v>#REF!</v>
      </c>
      <c r="J11" s="211"/>
    </row>
    <row r="12" spans="2:10" ht="14.5" customHeight="1">
      <c r="B12" s="10"/>
      <c r="C12" s="170"/>
      <c r="D12" s="170"/>
      <c r="E12" s="170"/>
      <c r="F12" s="209"/>
      <c r="G12" s="209"/>
      <c r="H12" s="170"/>
      <c r="I12" s="209"/>
      <c r="J12" s="209"/>
    </row>
    <row r="13" spans="2:10" ht="14.5" customHeight="1">
      <c r="B13" s="10"/>
      <c r="C13" s="170"/>
      <c r="D13" s="170"/>
      <c r="E13" s="170"/>
      <c r="F13" s="209"/>
      <c r="G13" s="209"/>
      <c r="H13" s="170"/>
      <c r="I13" s="209"/>
      <c r="J13" s="209"/>
    </row>
    <row r="14" spans="2:10" ht="14.5" customHeight="1">
      <c r="C14" s="170"/>
      <c r="D14" s="170"/>
      <c r="E14" s="170"/>
      <c r="F14" s="209"/>
      <c r="G14" s="209"/>
      <c r="H14" s="170"/>
      <c r="I14" s="209"/>
      <c r="J14" s="209"/>
    </row>
    <row r="15" spans="2:10" ht="14.5" customHeight="1">
      <c r="C15" s="170"/>
      <c r="D15" s="170"/>
      <c r="E15" s="170"/>
      <c r="F15" s="170"/>
      <c r="G15" s="170"/>
      <c r="H15" s="170"/>
      <c r="I15" s="209"/>
      <c r="J15" s="170"/>
    </row>
    <row r="16" spans="2:10" ht="14.5" customHeight="1">
      <c r="C16" s="170"/>
      <c r="D16" s="170"/>
      <c r="E16" s="170"/>
      <c r="F16" s="170"/>
      <c r="G16" s="170"/>
      <c r="H16" s="170"/>
      <c r="I16" s="209"/>
      <c r="J16" s="170"/>
    </row>
  </sheetData>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50"/>
  </sheetPr>
  <dimension ref="A1:M358"/>
  <sheetViews>
    <sheetView showGridLines="0" topLeftCell="A320" zoomScaleNormal="100" zoomScaleSheetLayoutView="80" workbookViewId="0">
      <selection activeCell="B2" sqref="B2:J11"/>
    </sheetView>
  </sheetViews>
  <sheetFormatPr baseColWidth="10" defaultColWidth="13.75" defaultRowHeight="13" customHeight="1"/>
  <cols>
    <col min="1" max="1" width="16.75" customWidth="1"/>
    <col min="3" max="3" width="28.75" customWidth="1"/>
    <col min="6" max="6" width="4.75" customWidth="1"/>
    <col min="7" max="7" width="32.25" customWidth="1"/>
    <col min="11" max="11" width="17.25" customWidth="1"/>
  </cols>
  <sheetData>
    <row r="1" spans="2:10" ht="13" customHeight="1">
      <c r="C1" s="5"/>
    </row>
    <row r="2" spans="2:10" ht="20" customHeight="1">
      <c r="C2" s="7" t="s">
        <v>425</v>
      </c>
    </row>
    <row r="3" spans="2:10" ht="20" customHeight="1">
      <c r="C3" s="7"/>
    </row>
    <row r="4" spans="2:10" ht="13" customHeight="1">
      <c r="C4" s="1" t="s">
        <v>426</v>
      </c>
      <c r="D4" s="163">
        <f>+Restatements!$H$5</f>
        <v>44561</v>
      </c>
      <c r="E4" s="163">
        <f>+Restatements!$I$5</f>
        <v>44926</v>
      </c>
      <c r="F4" s="1"/>
      <c r="G4" s="1"/>
      <c r="H4" s="163">
        <f>+$D$4</f>
        <v>44561</v>
      </c>
      <c r="I4" s="163">
        <f>+$E$4</f>
        <v>44926</v>
      </c>
    </row>
    <row r="5" spans="2:10" ht="5" customHeight="1"/>
    <row r="6" spans="2:10" ht="13" customHeight="1">
      <c r="B6" s="162" t="s">
        <v>427</v>
      </c>
      <c r="C6" s="81">
        <f>AsReported!P37</f>
        <v>0</v>
      </c>
      <c r="D6" s="41" t="e">
        <f>AsReported!#REF!</f>
        <v>#REF!</v>
      </c>
      <c r="E6" s="41" t="e">
        <f>AsReported!#REF!</f>
        <v>#REF!</v>
      </c>
      <c r="G6" s="81" t="str">
        <f>AsReported!B57</f>
        <v>Share capital</v>
      </c>
      <c r="H6" s="41">
        <f>AsReported!H57</f>
        <v>54.737000000000002</v>
      </c>
      <c r="I6" s="41">
        <f>AsReported!I57</f>
        <v>54.737000000000002</v>
      </c>
      <c r="J6" s="162" t="s">
        <v>428</v>
      </c>
    </row>
    <row r="7" spans="2:10" ht="13" customHeight="1">
      <c r="B7" s="162" t="s">
        <v>427</v>
      </c>
      <c r="C7" s="81">
        <f>AsReported!P38</f>
        <v>0</v>
      </c>
      <c r="D7" s="41" t="e">
        <f>AsReported!#REF!</f>
        <v>#REF!</v>
      </c>
      <c r="E7" s="41" t="e">
        <f>AsReported!#REF!</f>
        <v>#REF!</v>
      </c>
      <c r="G7" s="81" t="str">
        <f>AsReported!B58</f>
        <v>Reserves</v>
      </c>
      <c r="H7" s="41" t="e">
        <f>AsReported!#REF!</f>
        <v>#REF!</v>
      </c>
      <c r="I7" s="41" t="e">
        <f>AsReported!#REF!</f>
        <v>#REF!</v>
      </c>
      <c r="J7" s="162" t="s">
        <v>428</v>
      </c>
    </row>
    <row r="8" spans="2:10" ht="13" customHeight="1">
      <c r="B8" s="162" t="s">
        <v>427</v>
      </c>
      <c r="C8" s="81">
        <f>AsReported!P39</f>
        <v>0</v>
      </c>
      <c r="D8" s="41" t="e">
        <f>AsReported!#REF!</f>
        <v>#REF!</v>
      </c>
      <c r="E8" s="41" t="e">
        <f>AsReported!#REF!</f>
        <v>#REF!</v>
      </c>
      <c r="G8" s="83" t="str">
        <f>AsReported!B60</f>
        <v>Group's shareholders' equity</v>
      </c>
      <c r="H8" s="109" t="e">
        <f>SUM(H6:H7)</f>
        <v>#REF!</v>
      </c>
      <c r="I8" s="109" t="e">
        <f>SUM(I6:I7)</f>
        <v>#REF!</v>
      </c>
    </row>
    <row r="9" spans="2:10" ht="13" customHeight="1">
      <c r="B9" s="162" t="s">
        <v>427</v>
      </c>
      <c r="C9" s="81">
        <f>AsReported!P40</f>
        <v>0</v>
      </c>
      <c r="D9" s="41" t="e">
        <f>AsReported!#REF!</f>
        <v>#REF!</v>
      </c>
      <c r="E9" s="41" t="e">
        <f>AsReported!#REF!</f>
        <v>#REF!</v>
      </c>
      <c r="G9" s="81" t="str">
        <f>AsReported!B61</f>
        <v>Minorty interests</v>
      </c>
      <c r="H9" s="41">
        <f>AsReported!H61</f>
        <v>0.108</v>
      </c>
      <c r="I9" s="41">
        <f>AsReported!I61</f>
        <v>0.11600000000000001</v>
      </c>
      <c r="J9" s="162" t="s">
        <v>428</v>
      </c>
    </row>
    <row r="10" spans="2:10" ht="13" customHeight="1">
      <c r="B10" s="162" t="s">
        <v>427</v>
      </c>
      <c r="C10" s="81">
        <f>AsReported!P41</f>
        <v>0</v>
      </c>
      <c r="D10" s="41" t="e">
        <f>AsReported!#REF!</f>
        <v>#REF!</v>
      </c>
      <c r="E10" s="41" t="e">
        <f>AsReported!#REF!</f>
        <v>#REF!</v>
      </c>
      <c r="G10" s="82" t="str">
        <f>AsReported!B62</f>
        <v>Total shareholders' equity</v>
      </c>
      <c r="H10" s="107" t="e">
        <f>+H8+H9</f>
        <v>#REF!</v>
      </c>
      <c r="I10" s="107" t="e">
        <f>+I8+I9</f>
        <v>#REF!</v>
      </c>
    </row>
    <row r="11" spans="2:10" ht="13" customHeight="1">
      <c r="B11" s="162" t="s">
        <v>429</v>
      </c>
      <c r="C11" s="81">
        <f>AsReported!P42</f>
        <v>0</v>
      </c>
      <c r="D11" s="41" t="e">
        <f>AsReported!#REF!</f>
        <v>#REF!</v>
      </c>
      <c r="E11" s="41" t="e">
        <f>AsReported!#REF!</f>
        <v>#REF!</v>
      </c>
      <c r="G11" s="81"/>
      <c r="H11" s="41"/>
      <c r="I11" s="41"/>
    </row>
    <row r="12" spans="2:10" ht="13" customHeight="1">
      <c r="B12" s="162" t="s">
        <v>430</v>
      </c>
      <c r="C12" s="81" t="e">
        <f>AsReported!#REF!</f>
        <v>#REF!</v>
      </c>
      <c r="D12" s="41" t="e">
        <f>AsReported!#REF!</f>
        <v>#REF!</v>
      </c>
      <c r="E12" s="41" t="e">
        <f>AsReported!#REF!</f>
        <v>#REF!</v>
      </c>
      <c r="G12" s="81" t="str">
        <f>AsReported!B64</f>
        <v>Long-term borrowings</v>
      </c>
      <c r="H12" s="41" t="e">
        <f>AsReported!#REF!</f>
        <v>#REF!</v>
      </c>
      <c r="I12" s="41" t="e">
        <f>AsReported!#REF!</f>
        <v>#REF!</v>
      </c>
      <c r="J12" s="162" t="s">
        <v>431</v>
      </c>
    </row>
    <row r="13" spans="2:10" ht="13" customHeight="1">
      <c r="B13" s="162" t="s">
        <v>429</v>
      </c>
      <c r="C13" s="81" t="e">
        <f>AsReported!#REF!</f>
        <v>#REF!</v>
      </c>
      <c r="D13" s="41" t="e">
        <f>AsReported!#REF!</f>
        <v>#REF!</v>
      </c>
      <c r="E13" s="41" t="e">
        <f>AsReported!#REF!</f>
        <v>#REF!</v>
      </c>
      <c r="G13" s="81" t="str">
        <f>AsReported!B65</f>
        <v>Other non-current financial payables</v>
      </c>
      <c r="H13" s="41" t="e">
        <f>AsReported!#REF!</f>
        <v>#REF!</v>
      </c>
      <c r="I13" s="41" t="e">
        <f>AsReported!#REF!</f>
        <v>#REF!</v>
      </c>
      <c r="J13" s="162" t="s">
        <v>431</v>
      </c>
    </row>
    <row r="14" spans="2:10" ht="13" customHeight="1">
      <c r="C14" s="82" t="str">
        <f>AsReported!B43</f>
        <v>Total non-current assets</v>
      </c>
      <c r="D14" s="107" t="e">
        <f>SUM(D6:D13)</f>
        <v>#REF!</v>
      </c>
      <c r="E14" s="107" t="e">
        <f>SUM(E6:E13)</f>
        <v>#REF!</v>
      </c>
      <c r="G14" s="81" t="str">
        <f>AsReported!B66</f>
        <v>Staff severance fund</v>
      </c>
      <c r="H14" s="41" t="e">
        <f>AsReported!#REF!</f>
        <v>#REF!</v>
      </c>
      <c r="I14" s="41" t="e">
        <f>AsReported!#REF!</f>
        <v>#REF!</v>
      </c>
      <c r="J14" s="162" t="s">
        <v>432</v>
      </c>
    </row>
    <row r="15" spans="2:10" ht="13" customHeight="1">
      <c r="C15" s="81"/>
      <c r="D15" s="41"/>
      <c r="E15" s="41"/>
      <c r="G15" s="81" t="e">
        <f>AsReported!#REF!</f>
        <v>#REF!</v>
      </c>
      <c r="H15" s="41" t="e">
        <f>AsReported!#REF!</f>
        <v>#REF!</v>
      </c>
      <c r="I15" s="41" t="e">
        <f>AsReported!#REF!</f>
        <v>#REF!</v>
      </c>
      <c r="J15" s="162" t="s">
        <v>433</v>
      </c>
    </row>
    <row r="16" spans="2:10" ht="13" customHeight="1">
      <c r="B16" s="162" t="s">
        <v>430</v>
      </c>
      <c r="C16" s="81" t="e">
        <f>AsReported!#REF!</f>
        <v>#REF!</v>
      </c>
      <c r="D16" s="41" t="e">
        <f>AsReported!#REF!</f>
        <v>#REF!</v>
      </c>
      <c r="E16" s="41" t="e">
        <f>AsReported!#REF!</f>
        <v>#REF!</v>
      </c>
      <c r="G16" s="81" t="str">
        <f>AsReported!B67</f>
        <v>Deferred tax</v>
      </c>
      <c r="H16" s="41" t="e">
        <f>AsReported!#REF!</f>
        <v>#REF!</v>
      </c>
      <c r="I16" s="41" t="e">
        <f>AsReported!#REF!</f>
        <v>#REF!</v>
      </c>
      <c r="J16" s="162" t="s">
        <v>433</v>
      </c>
    </row>
    <row r="17" spans="2:10" ht="13" customHeight="1">
      <c r="B17" s="162" t="s">
        <v>427</v>
      </c>
      <c r="C17" s="81" t="e">
        <f>AsReported!#REF!</f>
        <v>#REF!</v>
      </c>
      <c r="D17" s="41" t="e">
        <f>AsReported!#REF!</f>
        <v>#REF!</v>
      </c>
      <c r="E17" s="41" t="e">
        <f>AsReported!#REF!</f>
        <v>#REF!</v>
      </c>
      <c r="G17" s="82" t="str">
        <f>AsReported!B68</f>
        <v>Total non-current liabilities</v>
      </c>
      <c r="H17" s="107" t="e">
        <f>SUM(H12:H16)</f>
        <v>#REF!</v>
      </c>
      <c r="I17" s="107" t="e">
        <f>SUM(I12:I16)</f>
        <v>#REF!</v>
      </c>
    </row>
    <row r="18" spans="2:10" ht="13" customHeight="1">
      <c r="B18" s="162" t="s">
        <v>430</v>
      </c>
      <c r="C18" s="81" t="e">
        <f>AsReported!#REF!</f>
        <v>#REF!</v>
      </c>
      <c r="D18" s="41" t="e">
        <f>AsReported!#REF!</f>
        <v>#REF!</v>
      </c>
      <c r="E18" s="41" t="e">
        <f>AsReported!#REF!</f>
        <v>#REF!</v>
      </c>
      <c r="G18" s="81"/>
      <c r="H18" s="41"/>
      <c r="I18" s="41"/>
    </row>
    <row r="19" spans="2:10" ht="13" customHeight="1">
      <c r="B19" s="162" t="s">
        <v>430</v>
      </c>
      <c r="C19" s="81" t="e">
        <f>AsReported!#REF!</f>
        <v>#REF!</v>
      </c>
      <c r="D19" s="41" t="e">
        <f>AsReported!#REF!</f>
        <v>#REF!</v>
      </c>
      <c r="E19" s="41" t="e">
        <f>AsReported!#REF!</f>
        <v>#REF!</v>
      </c>
      <c r="G19" s="81" t="str">
        <f>AsReported!B70</f>
        <v>Short-term borrowings</v>
      </c>
      <c r="H19" s="41" t="e">
        <f>AsReported!#REF!</f>
        <v>#REF!</v>
      </c>
      <c r="I19" s="41" t="e">
        <f>AsReported!#REF!</f>
        <v>#REF!</v>
      </c>
      <c r="J19" s="162" t="s">
        <v>431</v>
      </c>
    </row>
    <row r="20" spans="2:10" ht="13" customHeight="1">
      <c r="B20" s="162" t="s">
        <v>434</v>
      </c>
      <c r="C20" s="81" t="e">
        <f>AsReported!#REF!</f>
        <v>#REF!</v>
      </c>
      <c r="D20" s="41" t="e">
        <f>AsReported!#REF!</f>
        <v>#REF!</v>
      </c>
      <c r="E20" s="41" t="e">
        <f>AsReported!#REF!</f>
        <v>#REF!</v>
      </c>
      <c r="G20" s="81" t="e">
        <f>AsReported!#REF!</f>
        <v>#REF!</v>
      </c>
      <c r="H20" s="41" t="e">
        <f>AsReported!#REF!</f>
        <v>#REF!</v>
      </c>
      <c r="I20" s="41" t="e">
        <f>AsReported!#REF!</f>
        <v>#REF!</v>
      </c>
      <c r="J20" s="162" t="s">
        <v>431</v>
      </c>
    </row>
    <row r="21" spans="2:10" ht="13" customHeight="1">
      <c r="B21" s="162" t="s">
        <v>430</v>
      </c>
      <c r="C21" s="81" t="e">
        <f>AsReported!#REF!</f>
        <v>#REF!</v>
      </c>
      <c r="D21" s="41" t="e">
        <f>AsReported!#REF!</f>
        <v>#REF!</v>
      </c>
      <c r="E21" s="41" t="e">
        <f>AsReported!#REF!</f>
        <v>#REF!</v>
      </c>
      <c r="G21" s="81" t="str">
        <f>AsReported!B71</f>
        <v>Trade payables</v>
      </c>
      <c r="H21" s="41" t="e">
        <f>AsReported!#REF!</f>
        <v>#REF!</v>
      </c>
      <c r="I21" s="41" t="e">
        <f>AsReported!#REF!</f>
        <v>#REF!</v>
      </c>
      <c r="J21" s="162" t="s">
        <v>433</v>
      </c>
    </row>
    <row r="22" spans="2:10" ht="13" customHeight="1">
      <c r="B22" s="162" t="s">
        <v>430</v>
      </c>
      <c r="C22" s="81" t="e">
        <f>AsReported!#REF!</f>
        <v>#REF!</v>
      </c>
      <c r="D22" s="41" t="e">
        <f>AsReported!#REF!</f>
        <v>#REF!</v>
      </c>
      <c r="E22" s="41" t="e">
        <f>AsReported!#REF!</f>
        <v>#REF!</v>
      </c>
      <c r="G22" s="81" t="str">
        <f>AsReported!B72</f>
        <v>Payables for taxes</v>
      </c>
      <c r="H22" s="41" t="e">
        <f>AsReported!#REF!</f>
        <v>#REF!</v>
      </c>
      <c r="I22" s="41" t="e">
        <f>AsReported!#REF!</f>
        <v>#REF!</v>
      </c>
      <c r="J22" s="162" t="s">
        <v>433</v>
      </c>
    </row>
    <row r="23" spans="2:10" ht="13" customHeight="1">
      <c r="C23" s="82" t="str">
        <f>AsReported!B51</f>
        <v>Total current assets</v>
      </c>
      <c r="D23" s="107" t="e">
        <f>SUM(D16:D22)</f>
        <v>#REF!</v>
      </c>
      <c r="E23" s="107" t="e">
        <f>SUM(E16:E22)</f>
        <v>#REF!</v>
      </c>
      <c r="G23" s="81" t="str">
        <f>AsReported!B73</f>
        <v>Other current liabilities</v>
      </c>
      <c r="H23" s="41" t="e">
        <f>AsReported!#REF!</f>
        <v>#REF!</v>
      </c>
      <c r="I23" s="41" t="e">
        <f>AsReported!#REF!</f>
        <v>#REF!</v>
      </c>
      <c r="J23" s="162" t="s">
        <v>433</v>
      </c>
    </row>
    <row r="24" spans="2:10" ht="13" customHeight="1">
      <c r="C24" s="81"/>
      <c r="D24" s="41"/>
      <c r="E24" s="41"/>
      <c r="G24" s="82" t="str">
        <f>AsReported!B74</f>
        <v>Total current liabilities</v>
      </c>
      <c r="H24" s="107" t="e">
        <f>SUM(H19:H23)</f>
        <v>#REF!</v>
      </c>
      <c r="I24" s="107" t="e">
        <f>SUM(I19:I23)</f>
        <v>#REF!</v>
      </c>
    </row>
    <row r="25" spans="2:10" ht="13" customHeight="1">
      <c r="D25" s="41"/>
      <c r="E25" s="41"/>
      <c r="G25" s="81"/>
      <c r="H25" s="41"/>
      <c r="I25" s="41"/>
    </row>
    <row r="26" spans="2:10" ht="13" customHeight="1">
      <c r="B26" s="162" t="s">
        <v>429</v>
      </c>
      <c r="C26" s="82" t="str">
        <f>AsReported!B53</f>
        <v>Non-current assets for sale</v>
      </c>
      <c r="D26" s="107">
        <f>AsReported!H53</f>
        <v>0</v>
      </c>
      <c r="E26" s="107">
        <f>AsReported!I53</f>
        <v>0</v>
      </c>
      <c r="G26" s="82" t="str">
        <f>AsReported!B76</f>
        <v>Liabilities held for sale</v>
      </c>
      <c r="H26" s="107">
        <f>AsReported!H76</f>
        <v>0</v>
      </c>
      <c r="I26" s="107">
        <f>AsReported!I76</f>
        <v>0</v>
      </c>
      <c r="J26" s="162" t="s">
        <v>432</v>
      </c>
    </row>
    <row r="27" spans="2:10" ht="13" customHeight="1">
      <c r="D27" s="41"/>
      <c r="E27" s="41"/>
      <c r="G27" s="81"/>
      <c r="H27" s="41"/>
      <c r="I27" s="41"/>
    </row>
    <row r="28" spans="2:10" ht="13" customHeight="1">
      <c r="C28" s="9" t="str">
        <f>AsReported!B55</f>
        <v>Total assets</v>
      </c>
      <c r="D28" s="108" t="e">
        <f>+D26+D23+D14</f>
        <v>#REF!</v>
      </c>
      <c r="E28" s="108" t="e">
        <f>+E26+E23+E14</f>
        <v>#REF!</v>
      </c>
      <c r="G28" s="9" t="str">
        <f>AsReported!B78</f>
        <v>Total liabilities and equity</v>
      </c>
      <c r="H28" s="108" t="e">
        <f>+H26+H24+H17+H10</f>
        <v>#REF!</v>
      </c>
      <c r="I28" s="108" t="e">
        <f>+I26+I24+I17+I10</f>
        <v>#REF!</v>
      </c>
    </row>
    <row r="29" spans="2:10" ht="13" customHeight="1">
      <c r="G29" s="2"/>
    </row>
    <row r="30" spans="2:10" ht="13" customHeight="1">
      <c r="G30" s="2"/>
    </row>
    <row r="31" spans="2:10" ht="13" customHeight="1">
      <c r="C31" s="1" t="s">
        <v>435</v>
      </c>
      <c r="D31" s="163">
        <f>+Restatements!$H$5</f>
        <v>44561</v>
      </c>
      <c r="E31" s="163">
        <f>+Restatements!$I$5</f>
        <v>44926</v>
      </c>
      <c r="F31" s="1"/>
      <c r="G31" s="1"/>
      <c r="H31" s="163">
        <f>+$D$4</f>
        <v>44561</v>
      </c>
      <c r="I31" s="163">
        <f>+$E$4</f>
        <v>44926</v>
      </c>
    </row>
    <row r="32" spans="2:10" ht="5" customHeight="1"/>
    <row r="33" spans="1:9" ht="13" customHeight="1">
      <c r="C33" s="81" t="str">
        <f>Restatements!B65</f>
        <v>Trade receivables</v>
      </c>
      <c r="D33" s="41" t="e">
        <f>+D18</f>
        <v>#REF!</v>
      </c>
      <c r="E33" s="41" t="e">
        <f>+E18</f>
        <v>#REF!</v>
      </c>
      <c r="F33" s="3"/>
      <c r="G33" s="81" t="str">
        <f>Restatements!B86</f>
        <v>ST financial debt</v>
      </c>
      <c r="H33" s="41" t="e">
        <f>+H20</f>
        <v>#REF!</v>
      </c>
      <c r="I33" s="41" t="e">
        <f>+I20</f>
        <v>#REF!</v>
      </c>
    </row>
    <row r="34" spans="1:9" ht="13" customHeight="1">
      <c r="C34" s="81" t="str">
        <f>Restatements!B66</f>
        <v>Trade payables</v>
      </c>
      <c r="D34" s="41" t="e">
        <f>-H21</f>
        <v>#REF!</v>
      </c>
      <c r="E34" s="41" t="e">
        <f>-I21</f>
        <v>#REF!</v>
      </c>
      <c r="F34" s="3"/>
      <c r="G34" s="81" t="str">
        <f>Restatements!B87</f>
        <v>Bank loans</v>
      </c>
      <c r="H34" s="41" t="e">
        <f>+H19</f>
        <v>#REF!</v>
      </c>
      <c r="I34" s="41" t="e">
        <f>+I19</f>
        <v>#REF!</v>
      </c>
    </row>
    <row r="35" spans="1:9" ht="13" customHeight="1">
      <c r="C35" s="81" t="str">
        <f>Restatements!B67</f>
        <v>Inventory</v>
      </c>
      <c r="D35" s="41" t="e">
        <f>+D16</f>
        <v>#REF!</v>
      </c>
      <c r="E35" s="41" t="e">
        <f>+E16</f>
        <v>#REF!</v>
      </c>
      <c r="F35" s="3"/>
      <c r="G35" s="81" t="str">
        <f>Restatements!B88</f>
        <v>Bonds and securities</v>
      </c>
      <c r="H35" s="41" t="e">
        <f>+H12+H13</f>
        <v>#REF!</v>
      </c>
      <c r="I35" s="41" t="e">
        <f>+I12+I13</f>
        <v>#REF!</v>
      </c>
    </row>
    <row r="36" spans="1:9" ht="13" customHeight="1">
      <c r="C36" s="81" t="str">
        <f>Restatements!B69</f>
        <v>Deferred taxes</v>
      </c>
      <c r="D36" s="41" t="e">
        <f>+D12-H16</f>
        <v>#REF!</v>
      </c>
      <c r="E36" s="41" t="e">
        <f>+E12-I16</f>
        <v>#REF!</v>
      </c>
      <c r="F36" s="3"/>
      <c r="G36" s="10" t="s">
        <v>436</v>
      </c>
      <c r="H36" s="157" t="e">
        <f>+SUM(H33:H35)</f>
        <v>#REF!</v>
      </c>
      <c r="I36" s="157" t="e">
        <f>+SUM(I33:I35)</f>
        <v>#REF!</v>
      </c>
    </row>
    <row r="37" spans="1:9" ht="13" customHeight="1">
      <c r="C37" s="81" t="str">
        <f>Restatements!B70</f>
        <v>Long term provisions</v>
      </c>
      <c r="D37" s="41" t="e">
        <f>-H15</f>
        <v>#REF!</v>
      </c>
      <c r="E37" s="41" t="e">
        <f>-I15</f>
        <v>#REF!</v>
      </c>
      <c r="F37" s="3"/>
      <c r="G37" s="81" t="str">
        <f>Restatements!B90</f>
        <v>Excess cash &amp; equivalents</v>
      </c>
      <c r="H37" s="41" t="e">
        <f>-D20</f>
        <v>#REF!</v>
      </c>
      <c r="I37" s="41" t="e">
        <f>-E20</f>
        <v>#REF!</v>
      </c>
    </row>
    <row r="38" spans="1:9" ht="13" customHeight="1">
      <c r="C38" s="81" t="str">
        <f>Restatements!B68</f>
        <v>Other current assets &amp; liabilities</v>
      </c>
      <c r="D38" s="41" t="e">
        <f>+D19+D21+D22-H23-H22</f>
        <v>#REF!</v>
      </c>
      <c r="E38" s="41" t="e">
        <f>+E19+E21+E22-I23-I22</f>
        <v>#REF!</v>
      </c>
      <c r="F38" s="3"/>
      <c r="G38" s="82" t="str">
        <f>Restatements!B91</f>
        <v>Net debt</v>
      </c>
      <c r="H38" s="107" t="e">
        <f>+SUM(H36:H37)</f>
        <v>#REF!</v>
      </c>
      <c r="I38" s="107" t="e">
        <f>+SUM(I36:I37)</f>
        <v>#REF!</v>
      </c>
    </row>
    <row r="39" spans="1:9" ht="13" customHeight="1">
      <c r="C39" s="82" t="str">
        <f>Restatements!B71</f>
        <v>Noncash working capital</v>
      </c>
      <c r="D39" s="107" t="e">
        <f>SUM(D33:D38)</f>
        <v>#REF!</v>
      </c>
      <c r="E39" s="107" t="e">
        <f>SUM(E33:E38)</f>
        <v>#REF!</v>
      </c>
      <c r="F39" s="3"/>
      <c r="G39" s="81"/>
      <c r="H39" s="41"/>
      <c r="I39" s="41"/>
    </row>
    <row r="40" spans="1:9" ht="13" customHeight="1">
      <c r="C40" s="81"/>
      <c r="D40" s="41"/>
      <c r="E40" s="41"/>
      <c r="F40" s="3"/>
      <c r="G40" s="81" t="str">
        <f>Restatements!B93</f>
        <v>Share capital</v>
      </c>
      <c r="H40" s="41">
        <f>+H6</f>
        <v>54.737000000000002</v>
      </c>
      <c r="I40" s="41">
        <f>+I6</f>
        <v>54.737000000000002</v>
      </c>
    </row>
    <row r="41" spans="1:9" ht="13" customHeight="1">
      <c r="A41" s="3"/>
      <c r="B41" s="3"/>
      <c r="C41" s="81" t="str">
        <f>Restatements!B73</f>
        <v>Tangible assets</v>
      </c>
      <c r="D41" s="41" t="e">
        <f>+D6+D7+D8+D17</f>
        <v>#REF!</v>
      </c>
      <c r="E41" s="41" t="e">
        <f>+E6+E7+E8+E17</f>
        <v>#REF!</v>
      </c>
      <c r="G41" s="81" t="str">
        <f>Restatements!B94</f>
        <v>Retained earnings</v>
      </c>
      <c r="H41" s="41" t="e">
        <f>+H7</f>
        <v>#REF!</v>
      </c>
      <c r="I41" s="41" t="e">
        <f>+I7</f>
        <v>#REF!</v>
      </c>
    </row>
    <row r="42" spans="1:9" ht="13" customHeight="1">
      <c r="C42" s="81" t="str">
        <f>Restatements!B74</f>
        <v>Goodwill and trademarks</v>
      </c>
      <c r="D42" s="41" t="e">
        <f>+D9+D10</f>
        <v>#REF!</v>
      </c>
      <c r="E42" s="41" t="e">
        <f>+E9+E10</f>
        <v>#REF!</v>
      </c>
      <c r="F42" s="3"/>
      <c r="G42" s="83" t="str">
        <f>Restatements!B95</f>
        <v>Group equity</v>
      </c>
      <c r="H42" s="109" t="e">
        <f>SUM(H40:H41)</f>
        <v>#REF!</v>
      </c>
      <c r="I42" s="109" t="e">
        <f>SUM(I40:I41)</f>
        <v>#REF!</v>
      </c>
    </row>
    <row r="43" spans="1:9" ht="13" customHeight="1">
      <c r="C43" s="82" t="str">
        <f>Restatements!B75</f>
        <v>Fixed assets</v>
      </c>
      <c r="D43" s="107" t="e">
        <f>SUM(D41:D42)</f>
        <v>#REF!</v>
      </c>
      <c r="E43" s="107" t="e">
        <f>SUM(E41:E42)</f>
        <v>#REF!</v>
      </c>
      <c r="F43" s="3"/>
      <c r="G43" s="81" t="str">
        <f>Restatements!B96</f>
        <v>Minorities</v>
      </c>
      <c r="H43" s="41">
        <f>+H9</f>
        <v>0.108</v>
      </c>
      <c r="I43" s="41">
        <f>+I9</f>
        <v>0.11600000000000001</v>
      </c>
    </row>
    <row r="44" spans="1:9" ht="13" customHeight="1">
      <c r="C44" s="81"/>
      <c r="D44" s="41"/>
      <c r="E44" s="41"/>
      <c r="F44" s="3"/>
      <c r="G44" s="82" t="str">
        <f>Restatements!B97</f>
        <v>Total equity</v>
      </c>
      <c r="H44" s="107" t="e">
        <f>+H42+H43</f>
        <v>#REF!</v>
      </c>
      <c r="I44" s="107" t="e">
        <f>+I42+I43</f>
        <v>#REF!</v>
      </c>
    </row>
    <row r="45" spans="1:9" ht="13" customHeight="1">
      <c r="C45" s="9" t="str">
        <f>Restatements!B77</f>
        <v>Core capital employed</v>
      </c>
      <c r="D45" s="108" t="e">
        <f>+D43+D39</f>
        <v>#REF!</v>
      </c>
      <c r="E45" s="108" t="e">
        <f>+E43+E39</f>
        <v>#REF!</v>
      </c>
      <c r="F45" s="3"/>
      <c r="G45" s="2"/>
    </row>
    <row r="46" spans="1:9" ht="13" customHeight="1">
      <c r="C46" s="81"/>
      <c r="D46" s="41"/>
      <c r="E46" s="41"/>
      <c r="F46" s="3"/>
      <c r="G46" s="2"/>
    </row>
    <row r="47" spans="1:9" ht="13" customHeight="1">
      <c r="C47" s="81" t="str">
        <f>Restatements!B79</f>
        <v>Investments</v>
      </c>
      <c r="D47" s="41" t="e">
        <f>+D11</f>
        <v>#REF!</v>
      </c>
      <c r="E47" s="41" t="e">
        <f>+E11</f>
        <v>#REF!</v>
      </c>
      <c r="F47" s="3"/>
      <c r="G47" s="2"/>
    </row>
    <row r="48" spans="1:9" ht="13" customHeight="1">
      <c r="C48" s="81" t="str">
        <f>Restatements!B80</f>
        <v>Employee severance</v>
      </c>
      <c r="D48" s="41" t="e">
        <f>-H14</f>
        <v>#REF!</v>
      </c>
      <c r="E48" s="41" t="e">
        <f>-I14</f>
        <v>#REF!</v>
      </c>
      <c r="F48" s="3"/>
      <c r="G48" s="2"/>
    </row>
    <row r="49" spans="3:9" ht="13" customHeight="1">
      <c r="C49" s="81" t="str">
        <f>Restatements!B81</f>
        <v>Other non-operational assets</v>
      </c>
      <c r="D49" s="41" t="e">
        <f>+D13+D26-H26</f>
        <v>#REF!</v>
      </c>
      <c r="E49" s="41" t="e">
        <f>+E13+E26-I26</f>
        <v>#REF!</v>
      </c>
      <c r="F49" s="3"/>
      <c r="G49" s="2"/>
    </row>
    <row r="50" spans="3:9" ht="13" customHeight="1">
      <c r="C50" s="82" t="str">
        <f>Restatements!B82</f>
        <v>Surplus assets</v>
      </c>
      <c r="D50" s="107" t="e">
        <f>SUM(D47:D49)</f>
        <v>#REF!</v>
      </c>
      <c r="E50" s="107" t="e">
        <f>SUM(E47:E49)</f>
        <v>#REF!</v>
      </c>
      <c r="F50" s="3"/>
      <c r="G50" s="2"/>
    </row>
    <row r="51" spans="3:9" ht="13" customHeight="1">
      <c r="C51" s="81"/>
      <c r="D51" s="41"/>
      <c r="E51" s="41"/>
      <c r="F51" s="3"/>
      <c r="G51" s="2"/>
    </row>
    <row r="52" spans="3:9" ht="13" customHeight="1">
      <c r="C52" s="9" t="str">
        <f>Restatements!B84</f>
        <v>Net capital employed</v>
      </c>
      <c r="D52" s="108" t="e">
        <f>+D50+D45</f>
        <v>#REF!</v>
      </c>
      <c r="E52" s="108" t="e">
        <f>+E50+E45</f>
        <v>#REF!</v>
      </c>
      <c r="F52" s="3"/>
      <c r="G52" s="9" t="str">
        <f>Restatements!B99</f>
        <v>Total funds invested</v>
      </c>
      <c r="H52" s="108" t="e">
        <f>+H44+H38</f>
        <v>#REF!</v>
      </c>
      <c r="I52" s="108" t="e">
        <f>+I44+I38</f>
        <v>#REF!</v>
      </c>
    </row>
    <row r="53" spans="3:9" ht="13" customHeight="1">
      <c r="C53" s="81"/>
      <c r="D53" s="3"/>
      <c r="E53" s="3"/>
      <c r="F53" s="3"/>
      <c r="G53" s="2"/>
    </row>
    <row r="54" spans="3:9" ht="13" customHeight="1">
      <c r="F54" s="3"/>
    </row>
    <row r="55" spans="3:9" ht="13" customHeight="1">
      <c r="F55" s="3"/>
    </row>
    <row r="56" spans="3:9" ht="13" customHeight="1">
      <c r="F56" s="3"/>
    </row>
    <row r="57" spans="3:9" ht="13" customHeight="1">
      <c r="C57" s="1" t="s">
        <v>437</v>
      </c>
      <c r="D57" s="163">
        <f>+Restatements!$H$5</f>
        <v>44561</v>
      </c>
      <c r="E57" s="163">
        <f>+Restatements!$I$5</f>
        <v>44926</v>
      </c>
      <c r="F57" s="3"/>
      <c r="G57" s="3"/>
      <c r="H57" s="3"/>
      <c r="I57" s="3"/>
    </row>
    <row r="58" spans="3:9" ht="5" customHeight="1"/>
    <row r="59" spans="3:9" ht="13" customHeight="1">
      <c r="C59" s="83" t="str">
        <f>AsReported!B15</f>
        <v>Net sales</v>
      </c>
      <c r="D59" s="109" t="e">
        <f>AsReported!#REF!</f>
        <v>#REF!</v>
      </c>
      <c r="E59" s="109" t="e">
        <f>AsReported!#REF!</f>
        <v>#REF!</v>
      </c>
      <c r="F59" s="41"/>
      <c r="G59" s="81"/>
    </row>
    <row r="60" spans="3:9" ht="13" customHeight="1">
      <c r="C60" s="81" t="str">
        <f>AsReported!B16</f>
        <v>Cost of goods sold (COGS)</v>
      </c>
      <c r="D60" s="41" t="e">
        <f>AsReported!#REF!</f>
        <v>#REF!</v>
      </c>
      <c r="E60" s="41" t="e">
        <f>AsReported!#REF!</f>
        <v>#REF!</v>
      </c>
      <c r="F60" s="41"/>
      <c r="G60" s="81"/>
    </row>
    <row r="61" spans="3:9" ht="13" customHeight="1">
      <c r="C61" s="81" t="str">
        <f>AsReported!B19</f>
        <v>Advertising and promotion</v>
      </c>
      <c r="D61" s="41" t="e">
        <f>AsReported!#REF!</f>
        <v>#REF!</v>
      </c>
      <c r="E61" s="41" t="e">
        <f>AsReported!#REF!</f>
        <v>#REF!</v>
      </c>
      <c r="F61" s="41"/>
      <c r="G61" s="81"/>
    </row>
    <row r="62" spans="3:9" ht="13" customHeight="1">
      <c r="C62" s="81" t="s">
        <v>438</v>
      </c>
      <c r="D62" s="41" t="e">
        <f>AsReported!#REF!</f>
        <v>#REF!</v>
      </c>
      <c r="E62" s="41" t="e">
        <f>AsReported!#REF!</f>
        <v>#REF!</v>
      </c>
      <c r="F62" s="41"/>
      <c r="G62" s="81"/>
    </row>
    <row r="63" spans="3:9" ht="13" customHeight="1">
      <c r="C63" s="81" t="str">
        <f>AsReported!B22</f>
        <v>One-off items</v>
      </c>
      <c r="D63" s="41">
        <f>AsReported!H22</f>
        <v>0</v>
      </c>
      <c r="E63" s="41">
        <f>AsReported!I22</f>
        <v>0</v>
      </c>
      <c r="F63" s="41"/>
      <c r="G63" s="81"/>
    </row>
    <row r="64" spans="3:9" ht="13" customHeight="1">
      <c r="C64" s="82" t="str">
        <f>AsReported!B23</f>
        <v>Operating profit</v>
      </c>
      <c r="D64" s="107" t="e">
        <f>SUM(D59:D63)</f>
        <v>#REF!</v>
      </c>
      <c r="E64" s="107" t="e">
        <f>SUM(E59:E63)</f>
        <v>#REF!</v>
      </c>
      <c r="F64" s="41"/>
      <c r="G64" s="81"/>
    </row>
    <row r="65" spans="3:9" ht="5" customHeight="1">
      <c r="C65" s="81"/>
      <c r="D65" s="41"/>
      <c r="E65" s="41"/>
      <c r="F65" s="41"/>
      <c r="G65" s="81"/>
    </row>
    <row r="66" spans="3:9" ht="13" customHeight="1">
      <c r="C66" s="81" t="str">
        <f>AsReported!B25</f>
        <v>Financial income</v>
      </c>
      <c r="D66" s="41" t="e">
        <f>AsReported!#REF!</f>
        <v>#REF!</v>
      </c>
      <c r="E66" s="41" t="e">
        <f>AsReported!#REF!</f>
        <v>#REF!</v>
      </c>
      <c r="F66" s="41"/>
      <c r="G66" s="81"/>
    </row>
    <row r="67" spans="3:9" ht="13" customHeight="1">
      <c r="C67" s="81" t="str">
        <f>AsReported!B26</f>
        <v>Financial expenses</v>
      </c>
      <c r="D67" s="41" t="e">
        <f>AsReported!#REF!</f>
        <v>#REF!</v>
      </c>
      <c r="E67" s="41" t="e">
        <f>AsReported!#REF!</f>
        <v>#REF!</v>
      </c>
      <c r="F67" s="41"/>
      <c r="G67" s="81"/>
    </row>
    <row r="68" spans="3:9" ht="13" customHeight="1">
      <c r="C68" s="81" t="str">
        <f>AsReported!B27</f>
        <v>One-off's financial expenses</v>
      </c>
      <c r="D68" s="41">
        <f>AsReported!H27</f>
        <v>0</v>
      </c>
      <c r="E68" s="41">
        <f>AsReported!I27</f>
        <v>0</v>
      </c>
      <c r="F68" s="41"/>
      <c r="G68" s="81"/>
      <c r="H68" s="29"/>
    </row>
    <row r="69" spans="3:9" ht="13" customHeight="1">
      <c r="C69" s="81" t="str">
        <f>AsReported!B28</f>
        <v>Income from associates</v>
      </c>
      <c r="D69" s="41">
        <f>AsReported!H28</f>
        <v>0</v>
      </c>
      <c r="E69" s="41">
        <f>AsReported!I28</f>
        <v>0</v>
      </c>
      <c r="F69" s="41"/>
      <c r="G69" s="81"/>
    </row>
    <row r="70" spans="3:9" ht="13" customHeight="1">
      <c r="C70" s="81" t="str">
        <f>AsReported!B29</f>
        <v>Put options costs</v>
      </c>
      <c r="D70" s="41">
        <f>AsReported!H29</f>
        <v>0</v>
      </c>
      <c r="E70" s="41">
        <f>AsReported!I29</f>
        <v>0</v>
      </c>
      <c r="F70" s="41"/>
      <c r="G70" s="81"/>
    </row>
    <row r="71" spans="3:9" ht="13" customHeight="1">
      <c r="C71" s="82" t="str">
        <f>AsReported!B30</f>
        <v>Pre-tax profits</v>
      </c>
      <c r="D71" s="107" t="e">
        <f>+SUM(D64:D70)</f>
        <v>#REF!</v>
      </c>
      <c r="E71" s="107" t="e">
        <f>+SUM(E64:E70)</f>
        <v>#REF!</v>
      </c>
      <c r="F71" s="41"/>
      <c r="G71" s="81"/>
    </row>
    <row r="72" spans="3:9" ht="5" customHeight="1">
      <c r="C72" s="81"/>
      <c r="D72" s="41"/>
      <c r="E72" s="41"/>
      <c r="F72" s="41"/>
      <c r="G72" s="81"/>
    </row>
    <row r="73" spans="3:9" ht="13" customHeight="1">
      <c r="C73" s="81" t="str">
        <f>AsReported!B32</f>
        <v>Taxes</v>
      </c>
      <c r="D73" s="41" t="e">
        <f>AsReported!#REF!</f>
        <v>#REF!</v>
      </c>
      <c r="E73" s="41" t="e">
        <f>AsReported!#REF!</f>
        <v>#REF!</v>
      </c>
      <c r="F73" s="41"/>
      <c r="G73" s="81"/>
    </row>
    <row r="74" spans="3:9" ht="13" customHeight="1">
      <c r="C74" s="82" t="str">
        <f>AsReported!B33</f>
        <v>Net profit</v>
      </c>
      <c r="D74" s="107" t="e">
        <f>+SUM(D71:D73)</f>
        <v>#REF!</v>
      </c>
      <c r="E74" s="107" t="e">
        <f>+SUM(E71:E73)</f>
        <v>#REF!</v>
      </c>
      <c r="F74" s="41"/>
      <c r="G74" s="81"/>
    </row>
    <row r="75" spans="3:9" ht="13" customHeight="1">
      <c r="C75" s="2"/>
      <c r="D75" s="41"/>
      <c r="E75" s="41"/>
      <c r="F75" s="41"/>
      <c r="G75" s="2"/>
    </row>
    <row r="76" spans="3:9" ht="13" customHeight="1">
      <c r="C76" s="1" t="s">
        <v>439</v>
      </c>
      <c r="D76" s="163">
        <f>+Restatements!$H$5</f>
        <v>44561</v>
      </c>
      <c r="E76" s="163">
        <f>+Restatements!$I$5</f>
        <v>44926</v>
      </c>
      <c r="F76" s="3"/>
      <c r="G76" s="3"/>
      <c r="H76" s="3"/>
      <c r="I76" s="3"/>
    </row>
    <row r="77" spans="3:9" ht="5" customHeight="1"/>
    <row r="78" spans="3:9" ht="13" customHeight="1">
      <c r="C78" s="10" t="s">
        <v>440</v>
      </c>
      <c r="G78" s="2"/>
    </row>
    <row r="79" spans="3:9" ht="13" customHeight="1">
      <c r="C79" s="84" t="s">
        <v>441</v>
      </c>
      <c r="D79" s="85" t="e">
        <f>AsReported!#REF!+AsReported!#REF!</f>
        <v>#REF!</v>
      </c>
      <c r="E79" s="85" t="e">
        <f>AsReported!#REF!+AsReported!#REF!</f>
        <v>#REF!</v>
      </c>
      <c r="G79" s="2"/>
    </row>
    <row r="80" spans="3:9" ht="13" customHeight="1">
      <c r="C80" s="2" t="e">
        <f>AsReported!#REF!</f>
        <v>#REF!</v>
      </c>
      <c r="D80" s="31" t="e">
        <f>AsReported!#REF!+AsReported!#REF!</f>
        <v>#REF!</v>
      </c>
      <c r="E80" s="31" t="e">
        <f>AsReported!#REF!+AsReported!#REF!</f>
        <v>#REF!</v>
      </c>
      <c r="G80" s="2"/>
    </row>
    <row r="81" spans="3:7" ht="13" customHeight="1">
      <c r="C81" s="2" t="s">
        <v>438</v>
      </c>
      <c r="D81" s="31" t="e">
        <f>AsReported!#REF!+AsReported!#REF!</f>
        <v>#REF!</v>
      </c>
      <c r="E81" s="31" t="e">
        <f>AsReported!#REF!+AsReported!#REF!</f>
        <v>#REF!</v>
      </c>
      <c r="G81" s="2"/>
    </row>
    <row r="82" spans="3:7" ht="13" customHeight="1">
      <c r="C82" s="4" t="e">
        <f>AsReported!#REF!</f>
        <v>#REF!</v>
      </c>
      <c r="D82" s="28" t="e">
        <f>SUM(D79:D81)</f>
        <v>#REF!</v>
      </c>
      <c r="E82" s="28" t="e">
        <f>SUM(E79:E81)</f>
        <v>#REF!</v>
      </c>
      <c r="G82" s="2"/>
    </row>
    <row r="83" spans="3:7" ht="13" customHeight="1">
      <c r="C83" s="2"/>
    </row>
    <row r="84" spans="3:7" ht="13" customHeight="1">
      <c r="C84" s="2"/>
    </row>
    <row r="85" spans="3:7" ht="13" customHeight="1">
      <c r="C85" s="1" t="s">
        <v>442</v>
      </c>
      <c r="D85" s="163">
        <f>+Restatements!$H$5</f>
        <v>44561</v>
      </c>
      <c r="E85" s="163">
        <f>+Restatements!$I$5</f>
        <v>44926</v>
      </c>
    </row>
    <row r="86" spans="3:7" ht="5" customHeight="1"/>
    <row r="87" spans="3:7" ht="13" customHeight="1">
      <c r="C87" s="11" t="str">
        <f>Restatements!B10</f>
        <v>Sales</v>
      </c>
      <c r="D87" s="110" t="e">
        <f>+D59</f>
        <v>#REF!</v>
      </c>
      <c r="E87" s="110" t="e">
        <f>+E59</f>
        <v>#REF!</v>
      </c>
      <c r="F87" s="111"/>
      <c r="G87" s="111"/>
    </row>
    <row r="88" spans="3:7" ht="13" customHeight="1">
      <c r="C88" s="8" t="str">
        <f>Restatements!B13</f>
        <v>Cost of goods sold (COGS)</v>
      </c>
      <c r="D88" s="67" t="e">
        <f t="shared" ref="D88:D90" si="0">+D60-D79</f>
        <v>#REF!</v>
      </c>
      <c r="E88" s="67" t="e">
        <f>+E60-E79</f>
        <v>#REF!</v>
      </c>
      <c r="F88" s="111"/>
      <c r="G88" s="111"/>
    </row>
    <row r="89" spans="3:7" ht="13" customHeight="1">
      <c r="C89" s="8" t="str">
        <f>Restatements!B14</f>
        <v>Advertising and promotion</v>
      </c>
      <c r="D89" s="67" t="e">
        <f t="shared" si="0"/>
        <v>#REF!</v>
      </c>
      <c r="E89" s="67" t="e">
        <f>+E61-E80</f>
        <v>#REF!</v>
      </c>
      <c r="F89" s="111"/>
      <c r="G89" s="111"/>
    </row>
    <row r="90" spans="3:7" ht="13" customHeight="1">
      <c r="C90" s="8" t="s">
        <v>438</v>
      </c>
      <c r="D90" s="67" t="e">
        <f t="shared" si="0"/>
        <v>#REF!</v>
      </c>
      <c r="E90" s="67" t="e">
        <f>+E62-E81</f>
        <v>#REF!</v>
      </c>
      <c r="F90" s="111"/>
      <c r="G90" s="111"/>
    </row>
    <row r="91" spans="3:7" ht="13" customHeight="1">
      <c r="C91" s="12" t="str">
        <f>Restatements!B16</f>
        <v>EBITDA</v>
      </c>
      <c r="D91" s="112" t="e">
        <f>SUM(D87:D90)</f>
        <v>#REF!</v>
      </c>
      <c r="E91" s="112" t="e">
        <f>SUM(E87:E90)</f>
        <v>#REF!</v>
      </c>
      <c r="F91" s="111"/>
      <c r="G91" s="111"/>
    </row>
    <row r="92" spans="3:7" ht="13" customHeight="1">
      <c r="C92" s="13" t="str">
        <f>Restatements!B17</f>
        <v>Margin</v>
      </c>
      <c r="D92" s="114" t="e">
        <f>+D91/D$87</f>
        <v>#REF!</v>
      </c>
      <c r="E92" s="114" t="e">
        <f>+E91/E$87</f>
        <v>#REF!</v>
      </c>
      <c r="F92" s="111"/>
      <c r="G92" s="111"/>
    </row>
    <row r="93" spans="3:7" ht="5" customHeight="1">
      <c r="D93" s="111"/>
      <c r="E93" s="111"/>
      <c r="F93" s="111"/>
      <c r="G93" s="111"/>
    </row>
    <row r="94" spans="3:7" ht="13" customHeight="1">
      <c r="C94" s="8" t="str">
        <f>Restatements!B19</f>
        <v>Depreciation</v>
      </c>
      <c r="D94" s="67" t="e">
        <f>+D82</f>
        <v>#REF!</v>
      </c>
      <c r="E94" s="67" t="e">
        <f>+E82</f>
        <v>#REF!</v>
      </c>
      <c r="F94" s="111"/>
      <c r="G94" s="111"/>
    </row>
    <row r="95" spans="3:7" ht="13" customHeight="1">
      <c r="C95" s="12" t="str">
        <f>Restatements!B21</f>
        <v>EBIT</v>
      </c>
      <c r="D95" s="112" t="e">
        <f>+D94+D91</f>
        <v>#REF!</v>
      </c>
      <c r="E95" s="112" t="e">
        <f>+E94+E91</f>
        <v>#REF!</v>
      </c>
      <c r="F95" s="111"/>
      <c r="G95" s="111"/>
    </row>
    <row r="96" spans="3:7" ht="13" customHeight="1">
      <c r="C96" s="13" t="str">
        <f>Restatements!B22</f>
        <v>Margin</v>
      </c>
      <c r="D96" s="114" t="e">
        <f>+D95/D$87</f>
        <v>#REF!</v>
      </c>
      <c r="E96" s="114" t="e">
        <f>+E95/E$87</f>
        <v>#REF!</v>
      </c>
      <c r="F96" s="111"/>
      <c r="G96" s="111"/>
    </row>
    <row r="97" spans="3:7" ht="5" customHeight="1">
      <c r="D97" s="111"/>
      <c r="E97" s="111"/>
      <c r="F97" s="111"/>
      <c r="G97" s="111"/>
    </row>
    <row r="98" spans="3:7" ht="13" customHeight="1">
      <c r="C98" s="8" t="s">
        <v>443</v>
      </c>
      <c r="D98" s="67" t="e">
        <f>+D66+D67+D70</f>
        <v>#REF!</v>
      </c>
      <c r="E98" s="67" t="e">
        <f>+E66+E67+E70</f>
        <v>#REF!</v>
      </c>
      <c r="F98" s="111"/>
      <c r="G98" s="111"/>
    </row>
    <row r="99" spans="3:7" ht="13" customHeight="1">
      <c r="C99" s="8" t="str">
        <f>Restatements!B26</f>
        <v>Income from associates</v>
      </c>
      <c r="D99" s="67">
        <f>+D69</f>
        <v>0</v>
      </c>
      <c r="E99" s="67">
        <f>+E69</f>
        <v>0</v>
      </c>
      <c r="F99" s="111"/>
      <c r="G99" s="111"/>
    </row>
    <row r="100" spans="3:7" ht="13" customHeight="1">
      <c r="C100" s="8" t="str">
        <f>Restatements!B27</f>
        <v xml:space="preserve">Except. items </v>
      </c>
      <c r="D100" s="67">
        <f>+D63+D68</f>
        <v>0</v>
      </c>
      <c r="E100" s="67">
        <f>+E63+E68</f>
        <v>0</v>
      </c>
      <c r="F100" s="111"/>
      <c r="G100" s="111"/>
    </row>
    <row r="101" spans="3:7" ht="13" customHeight="1">
      <c r="C101" s="12" t="str">
        <f>Restatements!B28</f>
        <v>EBT</v>
      </c>
      <c r="D101" s="112" t="e">
        <f>+SUM(D98:D100,D95)</f>
        <v>#REF!</v>
      </c>
      <c r="E101" s="112" t="e">
        <f>+SUM(E98:E100,E95)</f>
        <v>#REF!</v>
      </c>
      <c r="F101" s="111"/>
      <c r="G101" s="111"/>
    </row>
    <row r="102" spans="3:7" ht="5" customHeight="1">
      <c r="D102" s="111"/>
      <c r="E102" s="111"/>
      <c r="F102" s="111"/>
      <c r="G102" s="111"/>
    </row>
    <row r="103" spans="3:7" ht="13" customHeight="1">
      <c r="C103" s="8" t="str">
        <f>Restatements!B30</f>
        <v>Income taxes</v>
      </c>
      <c r="D103" s="67" t="e">
        <f>+D73</f>
        <v>#REF!</v>
      </c>
      <c r="E103" s="67" t="e">
        <f>+E73</f>
        <v>#REF!</v>
      </c>
      <c r="F103" s="111"/>
      <c r="G103" s="111"/>
    </row>
    <row r="104" spans="3:7" ht="13" customHeight="1">
      <c r="C104" s="14" t="str">
        <f>Restatements!B31</f>
        <v>Net income</v>
      </c>
      <c r="D104" s="113" t="e">
        <f>+D103+D101</f>
        <v>#REF!</v>
      </c>
      <c r="E104" s="113" t="e">
        <f>+E103+E101</f>
        <v>#REF!</v>
      </c>
      <c r="F104" s="111"/>
      <c r="G104" s="111"/>
    </row>
    <row r="105" spans="3:7" ht="13" customHeight="1">
      <c r="C105" s="13" t="str">
        <f>Restatements!B32</f>
        <v>Margin</v>
      </c>
      <c r="D105" s="114" t="e">
        <f>+D104/D$87</f>
        <v>#REF!</v>
      </c>
      <c r="E105" s="114" t="e">
        <f>+E104/E$87</f>
        <v>#REF!</v>
      </c>
      <c r="F105" s="111"/>
      <c r="G105" s="111"/>
    </row>
    <row r="106" spans="3:7" ht="13" customHeight="1">
      <c r="C106" s="13"/>
      <c r="D106" s="35"/>
      <c r="E106" s="35"/>
    </row>
    <row r="107" spans="3:7" ht="13" customHeight="1">
      <c r="C107" s="1" t="s">
        <v>444</v>
      </c>
      <c r="D107" s="163">
        <f>+Restatements!$H$5</f>
        <v>44561</v>
      </c>
      <c r="E107" s="163">
        <f>+Restatements!$I$5</f>
        <v>44926</v>
      </c>
    </row>
    <row r="108" spans="3:7" ht="5" customHeight="1"/>
    <row r="109" spans="3:7" ht="13" customHeight="1">
      <c r="C109" s="8" t="s">
        <v>445</v>
      </c>
      <c r="D109" s="86" t="e">
        <f>-D103/D101</f>
        <v>#REF!</v>
      </c>
      <c r="E109" s="86" t="e">
        <f>-E103/E101</f>
        <v>#REF!</v>
      </c>
    </row>
    <row r="110" spans="3:7" ht="13" customHeight="1">
      <c r="C110" s="8" t="s">
        <v>446</v>
      </c>
      <c r="D110" s="17" t="e">
        <f>-D109*D95</f>
        <v>#REF!</v>
      </c>
      <c r="E110" s="17" t="e">
        <f>-E109*E95</f>
        <v>#REF!</v>
      </c>
    </row>
    <row r="111" spans="3:7" ht="13" customHeight="1">
      <c r="C111" s="8" t="s">
        <v>447</v>
      </c>
      <c r="D111" s="17" t="e">
        <f>+D103-D110</f>
        <v>#REF!</v>
      </c>
      <c r="E111" s="17" t="e">
        <f>+E103-E110</f>
        <v>#REF!</v>
      </c>
    </row>
    <row r="112" spans="3:7" ht="13" customHeight="1">
      <c r="C112" s="12" t="s">
        <v>448</v>
      </c>
      <c r="D112" s="18" t="e">
        <f>+D95+D110</f>
        <v>#REF!</v>
      </c>
      <c r="E112" s="18" t="e">
        <f>+E95+E110</f>
        <v>#REF!</v>
      </c>
    </row>
    <row r="113" spans="3:6" ht="13" customHeight="1">
      <c r="C113" s="13"/>
      <c r="D113" s="35"/>
      <c r="E113" s="35"/>
    </row>
    <row r="114" spans="3:6" ht="13" customHeight="1">
      <c r="C114" s="1" t="s">
        <v>449</v>
      </c>
      <c r="D114" s="80">
        <f>+Restatements!$I$5</f>
        <v>44926</v>
      </c>
    </row>
    <row r="115" spans="3:6" ht="5" customHeight="1"/>
    <row r="116" spans="3:6" ht="13" customHeight="1">
      <c r="C116" s="8" t="str">
        <f>Restatements!B118</f>
        <v>EBIT</v>
      </c>
      <c r="D116" s="67" t="e">
        <f>+E95</f>
        <v>#REF!</v>
      </c>
      <c r="F116" s="32"/>
    </row>
    <row r="117" spans="3:6" ht="13" customHeight="1">
      <c r="C117" s="8" t="str">
        <f>Restatements!B119</f>
        <v>(Operational taxes)</v>
      </c>
      <c r="D117" s="67" t="e">
        <f>+E110</f>
        <v>#REF!</v>
      </c>
      <c r="F117" s="32"/>
    </row>
    <row r="118" spans="3:6" ht="13" customHeight="1">
      <c r="C118" s="8" t="str">
        <f>Restatements!B121</f>
        <v>Depreciation</v>
      </c>
      <c r="D118" s="67" t="e">
        <f>-E94</f>
        <v>#REF!</v>
      </c>
      <c r="F118" s="32"/>
    </row>
    <row r="119" spans="3:6" ht="13" customHeight="1">
      <c r="C119" s="12" t="str">
        <f>Restatements!B123</f>
        <v>Gross cash flows</v>
      </c>
      <c r="D119" s="112" t="e">
        <f>SUM(D116:D118)</f>
        <v>#REF!</v>
      </c>
      <c r="F119" s="32"/>
    </row>
    <row r="120" spans="3:6" ht="5" customHeight="1">
      <c r="D120" s="111"/>
      <c r="F120" s="32"/>
    </row>
    <row r="121" spans="3:6" ht="13" customHeight="1">
      <c r="C121" s="8" t="str">
        <f>Restatements!B125</f>
        <v>Change in noncash WC</v>
      </c>
      <c r="D121" s="67" t="e">
        <f>-(E39-D39)</f>
        <v>#REF!</v>
      </c>
      <c r="F121" s="32"/>
    </row>
    <row r="122" spans="3:6" ht="13" customHeight="1">
      <c r="C122" s="8" t="str">
        <f>Restatements!B127</f>
        <v>Intangible CAPEX</v>
      </c>
      <c r="D122" s="67" t="e">
        <f>-(E43-D43)-D118</f>
        <v>#REF!</v>
      </c>
      <c r="F122" s="32"/>
    </row>
    <row r="123" spans="3:6" ht="5" customHeight="1">
      <c r="D123" s="111"/>
      <c r="F123" s="32"/>
    </row>
    <row r="124" spans="3:6" ht="13" customHeight="1">
      <c r="C124" s="14" t="str">
        <f>Restatements!B128</f>
        <v>FCFO</v>
      </c>
      <c r="D124" s="113" t="e">
        <f>+SUM(D119:D122)</f>
        <v>#REF!</v>
      </c>
      <c r="F124" s="32"/>
    </row>
    <row r="125" spans="3:6" ht="5" customHeight="1">
      <c r="D125" s="111"/>
      <c r="F125" s="32"/>
    </row>
    <row r="126" spans="3:6" ht="13" customHeight="1">
      <c r="C126" s="8" t="str">
        <f>Restatements!B130</f>
        <v>Tax shields</v>
      </c>
      <c r="D126" s="67" t="e">
        <f>+E111</f>
        <v>#REF!</v>
      </c>
      <c r="F126" s="32"/>
    </row>
    <row r="127" spans="3:6" ht="13" customHeight="1">
      <c r="C127" s="8" t="s">
        <v>443</v>
      </c>
      <c r="D127" s="67" t="e">
        <f>+E98</f>
        <v>#REF!</v>
      </c>
      <c r="F127" s="32"/>
    </row>
    <row r="128" spans="3:6" ht="13" customHeight="1">
      <c r="C128" s="8" t="str">
        <f>Restatements!B133</f>
        <v>Income from associates</v>
      </c>
      <c r="D128" s="67">
        <f>+E99</f>
        <v>0</v>
      </c>
      <c r="F128" s="32"/>
    </row>
    <row r="129" spans="3:7" ht="13" customHeight="1">
      <c r="C129" s="8" t="str">
        <f>Restatements!B134</f>
        <v xml:space="preserve">Except. items </v>
      </c>
      <c r="D129" s="67">
        <f>+E100</f>
        <v>0</v>
      </c>
      <c r="F129" s="32"/>
    </row>
    <row r="130" spans="3:7" ht="5" customHeight="1">
      <c r="C130" s="8"/>
      <c r="D130" s="67"/>
      <c r="F130" s="32"/>
    </row>
    <row r="131" spans="3:7" ht="13" customHeight="1">
      <c r="C131" s="8" t="str">
        <f>Restatements!B135</f>
        <v>Change in gross debt</v>
      </c>
      <c r="D131" s="67" t="e">
        <f>+(I36-H36)</f>
        <v>#REF!</v>
      </c>
      <c r="F131" s="32"/>
    </row>
    <row r="132" spans="3:7" ht="13" customHeight="1">
      <c r="C132" s="8" t="str">
        <f>Restatements!B136</f>
        <v>Change in surplus assets</v>
      </c>
      <c r="D132" s="67" t="e">
        <f>-(E50-D50)</f>
        <v>#REF!</v>
      </c>
      <c r="F132" s="32"/>
    </row>
    <row r="133" spans="3:7" ht="5" customHeight="1">
      <c r="D133" s="111"/>
      <c r="F133" s="32"/>
    </row>
    <row r="134" spans="3:7" ht="13" customHeight="1">
      <c r="C134" s="14" t="str">
        <f>Restatements!B137</f>
        <v>FCFE</v>
      </c>
      <c r="D134" s="113" t="e">
        <f>+SUM(D124:D132)</f>
        <v>#REF!</v>
      </c>
      <c r="F134" s="32"/>
    </row>
    <row r="135" spans="3:7" ht="5" customHeight="1">
      <c r="D135" s="111"/>
      <c r="F135" s="32"/>
    </row>
    <row r="136" spans="3:7" ht="13" customHeight="1">
      <c r="C136" s="8" t="s">
        <v>450</v>
      </c>
      <c r="D136" s="111" t="e">
        <f>+(I44-H44)-E74</f>
        <v>#REF!</v>
      </c>
      <c r="F136" s="32"/>
    </row>
    <row r="137" spans="3:7" ht="5" customHeight="1">
      <c r="D137" s="111"/>
      <c r="F137" s="32"/>
    </row>
    <row r="138" spans="3:7" ht="13" customHeight="1">
      <c r="C138" s="14" t="str">
        <f>Restatements!B143</f>
        <v>Change in cash</v>
      </c>
      <c r="D138" s="113" t="e">
        <f>+SUM(D134:D136)</f>
        <v>#REF!</v>
      </c>
      <c r="F138" s="32"/>
    </row>
    <row r="139" spans="3:7" ht="5" customHeight="1">
      <c r="C139" s="27"/>
      <c r="D139" s="115"/>
      <c r="F139" s="32"/>
    </row>
    <row r="140" spans="3:7" ht="13" customHeight="1">
      <c r="C140" s="44" t="s">
        <v>451</v>
      </c>
      <c r="D140" s="116" t="e">
        <f>-H37</f>
        <v>#REF!</v>
      </c>
      <c r="F140" s="32"/>
      <c r="G140" s="32"/>
    </row>
    <row r="141" spans="3:7" ht="13" customHeight="1">
      <c r="C141" s="75" t="s">
        <v>452</v>
      </c>
      <c r="D141" s="117" t="e">
        <f>+D140+D138</f>
        <v>#REF!</v>
      </c>
      <c r="F141" s="32"/>
      <c r="G141" s="32"/>
    </row>
    <row r="142" spans="3:7" ht="13" customHeight="1">
      <c r="C142" s="76" t="s">
        <v>453</v>
      </c>
      <c r="D142" s="118" t="e">
        <f>+D141-D140</f>
        <v>#REF!</v>
      </c>
      <c r="F142" s="32"/>
      <c r="G142" s="32"/>
    </row>
    <row r="143" spans="3:7" ht="13" customHeight="1">
      <c r="F143" s="32"/>
    </row>
    <row r="144" spans="3:7" ht="13" customHeight="1">
      <c r="F144" s="32"/>
    </row>
    <row r="145" spans="3:10" ht="13" customHeight="1">
      <c r="C145" s="1" t="s">
        <v>454</v>
      </c>
      <c r="D145" s="80"/>
      <c r="E145" s="80"/>
      <c r="F145" s="1"/>
      <c r="G145" s="1"/>
      <c r="H145" s="80"/>
      <c r="I145" s="80"/>
      <c r="J145" s="80"/>
    </row>
    <row r="146" spans="3:10" ht="13" customHeight="1">
      <c r="F146" s="32"/>
    </row>
    <row r="147" spans="3:10" ht="13" customHeight="1">
      <c r="C147" s="6"/>
      <c r="D147" s="17"/>
      <c r="E147" s="87"/>
      <c r="F147" s="87"/>
      <c r="G147" s="6"/>
      <c r="H147" s="6"/>
      <c r="I147" s="6"/>
      <c r="J147" s="6"/>
    </row>
    <row r="148" spans="3:10" ht="13" customHeight="1">
      <c r="C148" s="6"/>
      <c r="D148" s="17"/>
      <c r="E148" s="87"/>
      <c r="F148" s="87"/>
      <c r="G148" s="6"/>
      <c r="H148" s="6"/>
      <c r="I148" s="6"/>
      <c r="J148" s="6"/>
    </row>
    <row r="149" spans="3:10" ht="13" customHeight="1">
      <c r="C149" s="88"/>
      <c r="D149" s="89" t="s">
        <v>455</v>
      </c>
      <c r="E149" s="90" t="s">
        <v>456</v>
      </c>
      <c r="F149" s="87"/>
      <c r="G149" s="6"/>
      <c r="H149" s="6"/>
      <c r="I149" s="6"/>
      <c r="J149" s="6"/>
    </row>
    <row r="150" spans="3:10" ht="13" customHeight="1">
      <c r="C150" s="98">
        <f t="shared" ref="C150:C165" si="1">+EOMONTH(C151,-12)</f>
        <v>36525</v>
      </c>
      <c r="D150" s="91">
        <v>366.00099999999998</v>
      </c>
      <c r="E150" s="96"/>
      <c r="F150" s="87"/>
      <c r="G150" s="6"/>
      <c r="H150" s="6"/>
      <c r="I150" s="6"/>
      <c r="J150" s="6"/>
    </row>
    <row r="151" spans="3:10" ht="13" customHeight="1">
      <c r="C151" s="98">
        <f t="shared" si="1"/>
        <v>36891</v>
      </c>
      <c r="D151" s="91">
        <v>434.04199999999997</v>
      </c>
      <c r="E151" s="92">
        <f t="shared" ref="E151:E166" si="2">+D151/D150-1</f>
        <v>0.18590386365064582</v>
      </c>
      <c r="F151" s="87"/>
      <c r="G151" s="6"/>
      <c r="H151" s="6"/>
      <c r="I151" s="6"/>
      <c r="J151" s="6"/>
    </row>
    <row r="152" spans="3:10" ht="13" customHeight="1">
      <c r="C152" s="98">
        <f t="shared" si="1"/>
        <v>37256</v>
      </c>
      <c r="D152" s="91">
        <v>494.27099999999996</v>
      </c>
      <c r="E152" s="92">
        <f t="shared" si="2"/>
        <v>0.1387630690117545</v>
      </c>
      <c r="F152" s="87"/>
      <c r="G152" s="6"/>
      <c r="H152" s="6"/>
      <c r="I152" s="6"/>
      <c r="J152" s="6"/>
    </row>
    <row r="153" spans="3:10" ht="13" customHeight="1">
      <c r="C153" s="98">
        <f t="shared" si="1"/>
        <v>37621</v>
      </c>
      <c r="D153" s="91">
        <v>660.61500000000001</v>
      </c>
      <c r="E153" s="92">
        <f t="shared" si="2"/>
        <v>0.33654412255624955</v>
      </c>
      <c r="F153" s="87"/>
      <c r="G153" s="6"/>
      <c r="H153" s="6"/>
      <c r="I153" s="6"/>
      <c r="J153" s="6"/>
    </row>
    <row r="154" spans="3:10" ht="13" customHeight="1">
      <c r="C154" s="98">
        <f t="shared" si="1"/>
        <v>37986</v>
      </c>
      <c r="D154" s="91">
        <v>714.14800000000002</v>
      </c>
      <c r="E154" s="92">
        <f t="shared" si="2"/>
        <v>8.1035096084709046E-2</v>
      </c>
      <c r="F154" s="87"/>
      <c r="G154" s="6"/>
      <c r="H154" s="6"/>
      <c r="I154" s="6"/>
      <c r="J154" s="6"/>
    </row>
    <row r="155" spans="3:10" ht="13" customHeight="1">
      <c r="C155" s="98">
        <f t="shared" si="1"/>
        <v>38352</v>
      </c>
      <c r="D155" s="91">
        <v>751.1</v>
      </c>
      <c r="E155" s="92">
        <f t="shared" si="2"/>
        <v>5.174277600721422E-2</v>
      </c>
      <c r="F155" s="87"/>
      <c r="G155" s="6"/>
      <c r="H155" s="6"/>
      <c r="I155" s="6"/>
      <c r="J155" s="6"/>
    </row>
    <row r="156" spans="3:10" ht="13" customHeight="1">
      <c r="C156" s="98">
        <f t="shared" si="1"/>
        <v>38717</v>
      </c>
      <c r="D156" s="91">
        <v>809.9</v>
      </c>
      <c r="E156" s="92">
        <f t="shared" si="2"/>
        <v>7.8285181733457554E-2</v>
      </c>
      <c r="F156" s="87"/>
      <c r="G156" s="6"/>
      <c r="H156" s="6"/>
      <c r="I156" s="6"/>
      <c r="J156" s="6"/>
    </row>
    <row r="157" spans="3:10" ht="13" customHeight="1">
      <c r="C157" s="98">
        <f t="shared" si="1"/>
        <v>39082</v>
      </c>
      <c r="D157" s="91">
        <v>932.4</v>
      </c>
      <c r="E157" s="92">
        <f t="shared" si="2"/>
        <v>0.15125324114088157</v>
      </c>
      <c r="F157" s="87"/>
      <c r="G157" s="6"/>
      <c r="H157" s="6"/>
      <c r="I157" s="6"/>
      <c r="J157" s="6"/>
    </row>
    <row r="158" spans="3:10" ht="13" customHeight="1">
      <c r="C158" s="98">
        <f t="shared" si="1"/>
        <v>39447</v>
      </c>
      <c r="D158" s="91">
        <v>957.5</v>
      </c>
      <c r="E158" s="92">
        <f t="shared" si="2"/>
        <v>2.6919776919776872E-2</v>
      </c>
      <c r="F158" s="87"/>
      <c r="G158" s="6"/>
      <c r="H158" s="6"/>
      <c r="I158" s="6"/>
      <c r="J158" s="6"/>
    </row>
    <row r="159" spans="3:10" ht="13" customHeight="1">
      <c r="C159" s="98">
        <f t="shared" si="1"/>
        <v>39813</v>
      </c>
      <c r="D159" s="91">
        <v>942.3</v>
      </c>
      <c r="E159" s="92">
        <f t="shared" si="2"/>
        <v>-1.5874673629242886E-2</v>
      </c>
      <c r="F159" s="87"/>
      <c r="G159" s="6"/>
      <c r="H159" s="6"/>
      <c r="I159" s="6"/>
      <c r="J159" s="6"/>
    </row>
    <row r="160" spans="3:10" ht="13" customHeight="1">
      <c r="C160" s="98">
        <f t="shared" si="1"/>
        <v>40178</v>
      </c>
      <c r="D160" s="91">
        <v>1008.4</v>
      </c>
      <c r="E160" s="92">
        <f t="shared" si="2"/>
        <v>7.0147511408256369E-2</v>
      </c>
      <c r="F160" s="99"/>
      <c r="G160" s="6"/>
      <c r="H160" s="6"/>
      <c r="I160" s="6"/>
      <c r="J160" s="6"/>
    </row>
    <row r="161" spans="3:10" ht="13" customHeight="1">
      <c r="C161" s="98">
        <f t="shared" si="1"/>
        <v>40543</v>
      </c>
      <c r="D161" s="91">
        <v>1163</v>
      </c>
      <c r="E161" s="92">
        <f t="shared" si="2"/>
        <v>0.15331217770725902</v>
      </c>
      <c r="F161" s="87"/>
      <c r="G161" s="6"/>
      <c r="H161" s="6"/>
      <c r="I161" s="6"/>
      <c r="J161" s="6"/>
    </row>
    <row r="162" spans="3:10" ht="13" customHeight="1">
      <c r="C162" s="98">
        <f t="shared" si="1"/>
        <v>40908</v>
      </c>
      <c r="D162" s="91">
        <v>1274.2</v>
      </c>
      <c r="E162" s="92">
        <f t="shared" si="2"/>
        <v>9.5614789337919115E-2</v>
      </c>
      <c r="F162" s="87"/>
      <c r="G162" s="6"/>
      <c r="H162" s="6"/>
      <c r="I162" s="6"/>
      <c r="J162" s="6"/>
    </row>
    <row r="163" spans="3:10" ht="13" customHeight="1">
      <c r="C163" s="98">
        <f t="shared" si="1"/>
        <v>41274</v>
      </c>
      <c r="D163" s="91">
        <v>1340.8</v>
      </c>
      <c r="E163" s="92">
        <f t="shared" si="2"/>
        <v>5.2268089781823734E-2</v>
      </c>
      <c r="F163" s="87"/>
      <c r="G163" s="6"/>
      <c r="H163" s="6"/>
      <c r="I163" s="6"/>
      <c r="J163" s="6"/>
    </row>
    <row r="164" spans="3:10" ht="13" customHeight="1">
      <c r="C164" s="98">
        <f t="shared" si="1"/>
        <v>41639</v>
      </c>
      <c r="D164" s="91">
        <v>1524.1</v>
      </c>
      <c r="E164" s="92">
        <f t="shared" si="2"/>
        <v>0.13670942720763724</v>
      </c>
      <c r="F164" s="87"/>
      <c r="G164" s="6"/>
      <c r="H164" s="6"/>
      <c r="I164" s="6"/>
      <c r="J164" s="6"/>
    </row>
    <row r="165" spans="3:10" ht="13" customHeight="1">
      <c r="C165" s="98">
        <f t="shared" si="1"/>
        <v>42004</v>
      </c>
      <c r="D165" s="91">
        <v>1560</v>
      </c>
      <c r="E165" s="92">
        <f t="shared" si="2"/>
        <v>2.3554884850075508E-2</v>
      </c>
      <c r="F165" s="87"/>
      <c r="G165" s="6"/>
      <c r="H165" s="6"/>
      <c r="I165" s="6"/>
      <c r="J165" s="6"/>
    </row>
    <row r="166" spans="3:10" ht="13" customHeight="1">
      <c r="C166" s="98">
        <f>+EOMONTH(C167,-12)</f>
        <v>42369</v>
      </c>
      <c r="D166" s="91">
        <v>1656.8178217099992</v>
      </c>
      <c r="E166" s="92">
        <f t="shared" si="2"/>
        <v>6.2062706224358388E-2</v>
      </c>
      <c r="F166" s="87"/>
      <c r="G166" s="6"/>
      <c r="H166" s="6"/>
      <c r="I166" s="6"/>
      <c r="J166" s="6"/>
    </row>
    <row r="167" spans="3:10" ht="13" customHeight="1">
      <c r="C167" s="97">
        <v>42735</v>
      </c>
      <c r="D167" s="93">
        <v>1726.5</v>
      </c>
      <c r="E167" s="94">
        <f>+D167/D166-1</f>
        <v>4.205783965920995E-2</v>
      </c>
      <c r="F167" s="87"/>
      <c r="G167" s="6"/>
      <c r="H167" s="6"/>
      <c r="I167" s="6"/>
      <c r="J167" s="6"/>
    </row>
    <row r="168" spans="3:10" ht="13" customHeight="1">
      <c r="C168" s="6"/>
      <c r="D168" s="6"/>
      <c r="E168" s="6"/>
      <c r="F168" s="6"/>
      <c r="G168" s="6"/>
      <c r="H168" s="6"/>
      <c r="I168" s="6"/>
      <c r="J168" s="6"/>
    </row>
    <row r="169" spans="3:10" ht="13" customHeight="1">
      <c r="C169" s="6"/>
      <c r="D169" s="6"/>
      <c r="E169" s="6"/>
      <c r="F169" s="6"/>
      <c r="G169" s="6"/>
      <c r="H169" s="6"/>
      <c r="I169" s="6"/>
      <c r="J169" s="6"/>
    </row>
    <row r="170" spans="3:10" ht="13" customHeight="1">
      <c r="C170" s="6"/>
      <c r="D170" s="6"/>
      <c r="E170" s="6"/>
      <c r="F170" s="6"/>
      <c r="G170" s="6"/>
      <c r="H170" s="6"/>
      <c r="I170" s="6"/>
      <c r="J170" s="6"/>
    </row>
    <row r="171" spans="3:10" ht="13" customHeight="1">
      <c r="C171" s="6"/>
      <c r="D171" s="6"/>
      <c r="E171" s="95"/>
      <c r="F171" s="6"/>
      <c r="G171" s="6"/>
      <c r="H171" s="6"/>
      <c r="I171" s="6"/>
      <c r="J171" s="6"/>
    </row>
    <row r="172" spans="3:10" ht="13" customHeight="1">
      <c r="C172" s="6"/>
      <c r="D172" s="6"/>
      <c r="E172" s="6"/>
      <c r="F172" s="6"/>
      <c r="G172" s="6"/>
      <c r="H172" s="6"/>
      <c r="I172" s="6"/>
      <c r="J172" s="6"/>
    </row>
    <row r="173" spans="3:10" ht="13" customHeight="1">
      <c r="C173" s="6"/>
      <c r="D173" s="6"/>
      <c r="E173" s="6"/>
      <c r="F173" s="6"/>
      <c r="G173" s="6"/>
      <c r="H173" s="6"/>
      <c r="I173" s="6"/>
      <c r="J173" s="6"/>
    </row>
    <row r="174" spans="3:10" ht="13" customHeight="1">
      <c r="C174" s="6"/>
      <c r="D174" s="6"/>
      <c r="E174" s="6"/>
      <c r="F174" s="6"/>
      <c r="G174" s="6"/>
      <c r="H174" s="6"/>
      <c r="I174" s="6"/>
      <c r="J174" s="6"/>
    </row>
    <row r="175" spans="3:10" ht="13" customHeight="1">
      <c r="C175" s="6"/>
      <c r="D175" s="6"/>
      <c r="E175" s="6"/>
      <c r="F175" s="6"/>
      <c r="G175" s="6"/>
      <c r="H175" s="6"/>
      <c r="I175" s="6"/>
      <c r="J175" s="6"/>
    </row>
    <row r="176" spans="3:10" ht="13" customHeight="1">
      <c r="C176" s="6"/>
      <c r="D176" s="6"/>
      <c r="E176" s="6"/>
      <c r="F176" s="6"/>
      <c r="G176" s="6"/>
      <c r="H176" s="6"/>
      <c r="I176" s="6"/>
      <c r="J176" s="6"/>
    </row>
    <row r="177" spans="3:10" ht="13" customHeight="1">
      <c r="C177" s="6"/>
      <c r="D177" s="6"/>
      <c r="E177" s="6"/>
      <c r="F177" s="6"/>
      <c r="G177" s="6"/>
      <c r="H177" s="6"/>
      <c r="I177" s="6"/>
      <c r="J177" s="6"/>
    </row>
    <row r="178" spans="3:10" ht="13" customHeight="1">
      <c r="C178" s="6"/>
      <c r="D178" s="6"/>
      <c r="E178" s="6"/>
      <c r="F178" s="6"/>
      <c r="G178" s="6"/>
      <c r="H178" s="6"/>
      <c r="I178" s="6"/>
      <c r="J178" s="6"/>
    </row>
    <row r="179" spans="3:10" ht="13" customHeight="1">
      <c r="C179" s="6"/>
      <c r="D179" s="6"/>
      <c r="E179" s="6"/>
      <c r="F179" s="6"/>
      <c r="G179" s="6"/>
      <c r="H179" s="6"/>
      <c r="I179" s="6"/>
      <c r="J179" s="6"/>
    </row>
    <row r="180" spans="3:10" ht="13" customHeight="1">
      <c r="C180" s="6"/>
      <c r="D180" s="6"/>
      <c r="E180" s="6"/>
      <c r="F180" s="6"/>
      <c r="G180" s="6"/>
      <c r="H180" s="6"/>
      <c r="I180" s="6"/>
      <c r="J180" s="6"/>
    </row>
    <row r="181" spans="3:10" ht="13" customHeight="1">
      <c r="C181" s="6"/>
      <c r="D181" s="6"/>
      <c r="E181" s="6"/>
      <c r="F181" s="6"/>
      <c r="G181" s="6"/>
      <c r="H181" s="6"/>
      <c r="I181" s="6"/>
      <c r="J181" s="6"/>
    </row>
    <row r="182" spans="3:10" ht="13" customHeight="1">
      <c r="C182" s="6"/>
      <c r="D182" s="6"/>
      <c r="E182" s="6"/>
      <c r="F182" s="6"/>
      <c r="G182" s="6"/>
      <c r="H182" s="6"/>
      <c r="I182" s="6"/>
      <c r="J182" s="6"/>
    </row>
    <row r="183" spans="3:10" ht="13" customHeight="1">
      <c r="C183" s="6"/>
      <c r="D183" s="6"/>
      <c r="E183" s="6"/>
      <c r="F183" s="6"/>
      <c r="G183" s="6"/>
      <c r="H183" s="6"/>
      <c r="I183" s="6"/>
      <c r="J183" s="6"/>
    </row>
    <row r="184" spans="3:10" ht="13" customHeight="1">
      <c r="C184" s="6"/>
      <c r="D184" s="6"/>
      <c r="E184" s="6"/>
      <c r="F184" s="6"/>
      <c r="G184" s="6"/>
      <c r="H184" s="6"/>
      <c r="I184" s="6"/>
      <c r="J184" s="6"/>
    </row>
    <row r="185" spans="3:10" ht="13" customHeight="1">
      <c r="C185" s="6"/>
      <c r="D185" s="6"/>
      <c r="E185" s="6"/>
      <c r="F185" s="6"/>
      <c r="G185" s="6"/>
      <c r="H185" s="6"/>
      <c r="I185" s="6"/>
      <c r="J185" s="6"/>
    </row>
    <row r="186" spans="3:10" ht="13" customHeight="1">
      <c r="C186" s="6"/>
      <c r="D186" s="6"/>
      <c r="E186" s="6"/>
      <c r="F186" s="6"/>
      <c r="G186" s="6"/>
      <c r="H186" s="6"/>
      <c r="I186" s="6"/>
      <c r="J186" s="6"/>
    </row>
    <row r="187" spans="3:10" ht="13" customHeight="1">
      <c r="C187" s="6"/>
      <c r="D187" s="6"/>
      <c r="E187" s="6"/>
      <c r="F187" s="6"/>
      <c r="G187" s="6"/>
      <c r="H187" s="6"/>
      <c r="I187" s="6"/>
      <c r="J187" s="6"/>
    </row>
    <row r="188" spans="3:10" ht="13" customHeight="1">
      <c r="C188" s="6"/>
      <c r="D188" s="6"/>
      <c r="E188" s="6"/>
      <c r="F188" s="6"/>
      <c r="G188" s="6"/>
      <c r="H188" s="6"/>
      <c r="I188" s="6"/>
      <c r="J188" s="6"/>
    </row>
    <row r="189" spans="3:10" ht="13" customHeight="1">
      <c r="C189" s="6"/>
      <c r="D189" s="6"/>
      <c r="E189" s="6"/>
      <c r="F189" s="6"/>
      <c r="G189" s="6"/>
      <c r="H189" s="6"/>
      <c r="I189" s="6"/>
      <c r="J189" s="6"/>
    </row>
    <row r="190" spans="3:10" ht="13" customHeight="1">
      <c r="C190" s="6"/>
      <c r="D190" s="6"/>
      <c r="E190" s="6"/>
      <c r="F190" s="6"/>
      <c r="G190" s="6"/>
      <c r="H190" s="6"/>
      <c r="I190" s="6"/>
      <c r="J190" s="6"/>
    </row>
    <row r="191" spans="3:10" ht="13" customHeight="1">
      <c r="C191" s="6"/>
      <c r="D191" s="6"/>
      <c r="E191" s="6"/>
      <c r="F191" s="6"/>
      <c r="G191" s="6"/>
      <c r="H191" s="6"/>
      <c r="I191" s="6"/>
      <c r="J191" s="6"/>
    </row>
    <row r="192" spans="3:10" ht="13" customHeight="1">
      <c r="C192" s="6"/>
      <c r="D192" s="6"/>
      <c r="E192" s="6"/>
      <c r="F192" s="6"/>
      <c r="G192" s="6"/>
      <c r="H192" s="6"/>
      <c r="I192" s="6"/>
      <c r="J192" s="6"/>
    </row>
    <row r="193" spans="3:10" ht="13" customHeight="1">
      <c r="C193" s="6"/>
      <c r="D193" s="6"/>
      <c r="E193" s="8"/>
      <c r="F193" s="6"/>
      <c r="G193" s="6"/>
      <c r="H193" s="6"/>
      <c r="I193" s="6"/>
      <c r="J193" s="6"/>
    </row>
    <row r="194" spans="3:10" ht="13" customHeight="1">
      <c r="C194" s="1" t="s">
        <v>457</v>
      </c>
      <c r="D194" s="163">
        <f>+Restatements!$H$5</f>
        <v>44561</v>
      </c>
      <c r="E194" s="163">
        <f>+Restatements!$I$5</f>
        <v>44926</v>
      </c>
      <c r="F194" s="6"/>
      <c r="G194" s="6"/>
      <c r="H194" s="6"/>
      <c r="I194" s="6"/>
      <c r="J194" s="6"/>
    </row>
    <row r="195" spans="3:10" ht="13" customHeight="1">
      <c r="C195" s="100"/>
      <c r="D195" s="19"/>
      <c r="E195" s="19"/>
      <c r="F195" s="6"/>
      <c r="G195" s="6"/>
      <c r="H195" s="6"/>
      <c r="I195" s="6"/>
      <c r="J195" s="6"/>
    </row>
    <row r="196" spans="3:10" ht="13" customHeight="1">
      <c r="C196" s="11" t="s">
        <v>126</v>
      </c>
      <c r="D196" s="42" t="e">
        <f>+D43</f>
        <v>#REF!</v>
      </c>
      <c r="E196" s="42" t="e">
        <f>+E43</f>
        <v>#REF!</v>
      </c>
      <c r="F196" s="6"/>
      <c r="G196" s="6"/>
      <c r="H196" s="6"/>
      <c r="I196" s="6"/>
      <c r="J196" s="6"/>
    </row>
    <row r="197" spans="3:10" ht="13" customHeight="1">
      <c r="C197" s="11" t="s">
        <v>244</v>
      </c>
      <c r="D197" s="42"/>
      <c r="E197" s="42" t="e">
        <f>-D94</f>
        <v>#REF!</v>
      </c>
      <c r="F197" s="6"/>
      <c r="G197" s="6"/>
      <c r="H197" s="6"/>
      <c r="I197" s="6"/>
      <c r="J197" s="6"/>
    </row>
    <row r="198" spans="3:10" ht="13" customHeight="1">
      <c r="C198" s="11" t="s">
        <v>183</v>
      </c>
      <c r="D198" s="42"/>
      <c r="E198" s="42" t="e">
        <f>-D122</f>
        <v>#REF!</v>
      </c>
      <c r="F198" s="6"/>
      <c r="G198" s="6"/>
      <c r="H198" s="6"/>
      <c r="I198" s="6"/>
      <c r="J198" s="6"/>
    </row>
    <row r="199" spans="3:10" ht="13" customHeight="1">
      <c r="C199" s="6"/>
      <c r="D199" s="6"/>
      <c r="E199" s="101" t="s">
        <v>458</v>
      </c>
      <c r="F199" s="6"/>
      <c r="G199" s="6"/>
      <c r="H199" s="6"/>
      <c r="I199" s="6"/>
      <c r="J199" s="6"/>
    </row>
    <row r="200" spans="3:10" ht="13" customHeight="1">
      <c r="C200" s="6"/>
      <c r="D200" s="6"/>
      <c r="E200" s="6"/>
      <c r="F200" s="6"/>
      <c r="G200" s="6"/>
      <c r="H200" s="6"/>
      <c r="I200" s="6"/>
      <c r="J200" s="6"/>
    </row>
    <row r="201" spans="3:10" ht="13" customHeight="1">
      <c r="C201" s="1" t="s">
        <v>459</v>
      </c>
      <c r="D201" s="163">
        <f>+Restatements!$H$5</f>
        <v>44561</v>
      </c>
      <c r="E201" s="163">
        <f>+Restatements!$I$5</f>
        <v>44926</v>
      </c>
      <c r="F201" s="6"/>
      <c r="G201" s="6"/>
      <c r="H201" s="6"/>
      <c r="I201" s="6"/>
      <c r="J201" s="6"/>
    </row>
    <row r="202" spans="3:10" ht="13" customHeight="1">
      <c r="C202" s="100"/>
      <c r="D202" s="19"/>
      <c r="E202" s="19"/>
      <c r="F202" s="6"/>
      <c r="G202" s="6"/>
      <c r="H202" s="6"/>
      <c r="I202" s="6"/>
      <c r="J202" s="6"/>
    </row>
    <row r="203" spans="3:10" ht="13" customHeight="1">
      <c r="C203" s="8" t="s">
        <v>76</v>
      </c>
      <c r="D203" s="17" t="e">
        <f>+D59</f>
        <v>#REF!</v>
      </c>
      <c r="E203" s="17" t="e">
        <f>+E59</f>
        <v>#REF!</v>
      </c>
      <c r="F203" s="6"/>
      <c r="G203" s="6"/>
      <c r="H203" s="6"/>
      <c r="I203" s="6"/>
      <c r="J203" s="6"/>
    </row>
    <row r="204" spans="3:10" ht="13" customHeight="1">
      <c r="C204" s="8" t="s">
        <v>441</v>
      </c>
      <c r="D204" s="17" t="e">
        <f>-D88</f>
        <v>#REF!</v>
      </c>
      <c r="E204" s="17" t="e">
        <f>-E88</f>
        <v>#REF!</v>
      </c>
      <c r="F204" s="6"/>
      <c r="G204" s="6"/>
      <c r="H204" s="6"/>
      <c r="I204" s="6"/>
      <c r="J204" s="6"/>
    </row>
    <row r="205" spans="3:10" ht="13" customHeight="1">
      <c r="C205" s="100"/>
      <c r="D205" s="19"/>
      <c r="E205" s="19"/>
      <c r="F205" s="6"/>
      <c r="G205" s="6"/>
      <c r="H205" s="6"/>
      <c r="I205" s="6"/>
      <c r="J205" s="6"/>
    </row>
    <row r="206" spans="3:10" ht="13" customHeight="1">
      <c r="C206" s="8" t="s">
        <v>118</v>
      </c>
      <c r="D206" s="17" t="e">
        <f>+D33</f>
        <v>#REF!</v>
      </c>
      <c r="E206" s="17" t="e">
        <f>+E33</f>
        <v>#REF!</v>
      </c>
      <c r="F206" s="6"/>
      <c r="G206" s="6"/>
      <c r="H206" s="6"/>
      <c r="I206" s="6"/>
      <c r="J206" s="6"/>
    </row>
    <row r="207" spans="3:10" ht="13" customHeight="1">
      <c r="C207" s="8" t="s">
        <v>62</v>
      </c>
      <c r="D207" s="17" t="e">
        <f>-D34</f>
        <v>#REF!</v>
      </c>
      <c r="E207" s="17" t="e">
        <f>-E34</f>
        <v>#REF!</v>
      </c>
      <c r="F207" s="6"/>
      <c r="G207" s="6"/>
      <c r="H207" s="6"/>
      <c r="I207" s="6"/>
      <c r="J207" s="6"/>
    </row>
    <row r="208" spans="3:10" ht="13" customHeight="1">
      <c r="C208" s="8" t="s">
        <v>119</v>
      </c>
      <c r="D208" s="17" t="e">
        <f>+D35</f>
        <v>#REF!</v>
      </c>
      <c r="E208" s="17" t="e">
        <f>+E35</f>
        <v>#REF!</v>
      </c>
      <c r="F208" s="6"/>
      <c r="G208" s="6"/>
      <c r="H208" s="6"/>
      <c r="I208" s="6"/>
      <c r="J208" s="6"/>
    </row>
    <row r="209" spans="3:10" ht="13" customHeight="1">
      <c r="C209" s="100"/>
      <c r="D209" s="19"/>
      <c r="E209" s="19"/>
      <c r="F209" s="6"/>
      <c r="G209" s="6"/>
      <c r="H209" s="6"/>
      <c r="I209" s="6"/>
      <c r="J209" s="6"/>
    </row>
    <row r="210" spans="3:10" ht="13" customHeight="1">
      <c r="C210" s="8" t="s">
        <v>460</v>
      </c>
      <c r="D210" s="86">
        <v>0.22</v>
      </c>
      <c r="E210" s="86">
        <v>0.22</v>
      </c>
      <c r="F210" s="86"/>
      <c r="G210" s="6"/>
      <c r="H210" s="6"/>
      <c r="I210" s="6"/>
      <c r="J210" s="6"/>
    </row>
    <row r="211" spans="3:10" ht="13" customHeight="1">
      <c r="C211" s="100"/>
      <c r="D211" s="19"/>
      <c r="E211" s="19"/>
      <c r="F211" s="6"/>
      <c r="G211" s="6"/>
      <c r="H211" s="6"/>
      <c r="I211" s="6"/>
      <c r="J211" s="6"/>
    </row>
    <row r="212" spans="3:10" ht="13" customHeight="1">
      <c r="C212" s="14" t="s">
        <v>461</v>
      </c>
      <c r="D212" s="15" t="e">
        <f>365*(D206/(D203*(1+D$210)))</f>
        <v>#REF!</v>
      </c>
      <c r="E212" s="15" t="e">
        <f>365*(E206/(E203*(1+E$210)))</f>
        <v>#REF!</v>
      </c>
      <c r="F212" s="6"/>
      <c r="G212" s="6"/>
      <c r="H212" s="6"/>
      <c r="I212" s="6"/>
      <c r="J212" s="6"/>
    </row>
    <row r="213" spans="3:10" ht="13" customHeight="1">
      <c r="C213" s="14" t="s">
        <v>462</v>
      </c>
      <c r="D213" s="15" t="e">
        <f>365*(D207/(D204*(1+D$210)))</f>
        <v>#REF!</v>
      </c>
      <c r="E213" s="15" t="e">
        <f>365*(E207/(E204*(1+E$210)))</f>
        <v>#REF!</v>
      </c>
      <c r="F213" s="6"/>
      <c r="G213" s="6"/>
      <c r="H213" s="6"/>
      <c r="I213" s="6"/>
      <c r="J213" s="6"/>
    </row>
    <row r="214" spans="3:10" ht="13" customHeight="1">
      <c r="C214" s="14" t="s">
        <v>463</v>
      </c>
      <c r="D214" s="15" t="e">
        <f>365*(D208/(D203))</f>
        <v>#REF!</v>
      </c>
      <c r="E214" s="15" t="e">
        <f>365*(E208/(E203))</f>
        <v>#REF!</v>
      </c>
      <c r="F214" s="6"/>
      <c r="G214" s="6"/>
      <c r="H214" s="6"/>
      <c r="I214" s="6"/>
      <c r="J214" s="6"/>
    </row>
    <row r="215" spans="3:10" ht="13" customHeight="1">
      <c r="C215" s="8"/>
      <c r="D215" s="17"/>
      <c r="E215" s="17"/>
      <c r="F215" s="6"/>
      <c r="G215" s="6"/>
      <c r="H215" s="6"/>
      <c r="I215" s="6"/>
      <c r="J215" s="6"/>
    </row>
    <row r="216" spans="3:10" ht="13" customHeight="1">
      <c r="C216" s="1" t="s">
        <v>464</v>
      </c>
      <c r="D216" s="163">
        <f>+Restatements!$H$5</f>
        <v>44561</v>
      </c>
      <c r="E216" s="163">
        <f>+Restatements!$I$5</f>
        <v>44926</v>
      </c>
      <c r="F216" s="6"/>
      <c r="G216" s="6"/>
      <c r="H216" s="6"/>
      <c r="I216" s="6"/>
      <c r="J216" s="6"/>
    </row>
    <row r="217" spans="3:10" ht="13" customHeight="1">
      <c r="C217" s="100"/>
      <c r="D217" s="19"/>
      <c r="E217" s="19"/>
    </row>
    <row r="218" spans="3:10" ht="13" customHeight="1">
      <c r="C218" s="11" t="s">
        <v>139</v>
      </c>
      <c r="D218" s="42" t="e">
        <f>+H38</f>
        <v>#REF!</v>
      </c>
      <c r="E218" s="42" t="e">
        <f>+I38</f>
        <v>#REF!</v>
      </c>
    </row>
    <row r="219" spans="3:10" ht="13" customHeight="1">
      <c r="C219" s="8" t="s">
        <v>465</v>
      </c>
      <c r="D219" s="17" t="e">
        <f>+H36</f>
        <v>#REF!</v>
      </c>
      <c r="E219" s="17" t="e">
        <f>+I36</f>
        <v>#REF!</v>
      </c>
    </row>
    <row r="220" spans="3:10" ht="13" customHeight="1">
      <c r="C220" s="8" t="s">
        <v>466</v>
      </c>
      <c r="D220" s="17"/>
      <c r="E220" s="17" t="e">
        <f>+E219-D219</f>
        <v>#REF!</v>
      </c>
    </row>
    <row r="221" spans="3:10" ht="13" customHeight="1">
      <c r="C221" s="100"/>
      <c r="D221" s="19"/>
      <c r="E221" s="19"/>
    </row>
    <row r="222" spans="3:10" ht="13" customHeight="1">
      <c r="C222" s="11" t="s">
        <v>143</v>
      </c>
      <c r="D222" s="42" t="e">
        <f>+H44</f>
        <v>#REF!</v>
      </c>
      <c r="E222" s="42" t="e">
        <f>+I44</f>
        <v>#REF!</v>
      </c>
    </row>
    <row r="223" spans="3:10" ht="13" customHeight="1">
      <c r="C223" s="100"/>
      <c r="D223" s="19"/>
      <c r="E223" s="19"/>
    </row>
    <row r="224" spans="3:10" ht="13" customHeight="1">
      <c r="C224" s="12" t="s">
        <v>467</v>
      </c>
      <c r="D224" s="18" t="e">
        <f>+D98</f>
        <v>#REF!</v>
      </c>
      <c r="E224" s="18" t="e">
        <f>+E98</f>
        <v>#REF!</v>
      </c>
    </row>
    <row r="225" spans="3:5" ht="13" customHeight="1">
      <c r="C225" s="100"/>
      <c r="D225" s="19"/>
      <c r="E225" s="19"/>
    </row>
    <row r="226" spans="3:5" ht="13" customHeight="1">
      <c r="C226" s="8" t="s">
        <v>80</v>
      </c>
      <c r="D226" s="17" t="e">
        <f>+D91</f>
        <v>#REF!</v>
      </c>
      <c r="E226" s="17" t="e">
        <f>+E91</f>
        <v>#REF!</v>
      </c>
    </row>
    <row r="227" spans="3:5" ht="13" customHeight="1">
      <c r="C227" s="8" t="s">
        <v>84</v>
      </c>
      <c r="D227" s="17" t="e">
        <f>+D95</f>
        <v>#REF!</v>
      </c>
      <c r="E227" s="17" t="e">
        <f>+E95</f>
        <v>#REF!</v>
      </c>
    </row>
    <row r="228" spans="3:5" ht="13" customHeight="1">
      <c r="C228" s="8" t="s">
        <v>163</v>
      </c>
      <c r="D228" s="17"/>
      <c r="E228" s="17" t="e">
        <f>+D124</f>
        <v>#REF!</v>
      </c>
    </row>
    <row r="229" spans="3:5" ht="13" customHeight="1">
      <c r="C229" s="100"/>
      <c r="D229" s="19"/>
      <c r="E229" s="19"/>
    </row>
    <row r="230" spans="3:5" ht="13" customHeight="1">
      <c r="C230" s="14" t="s">
        <v>468</v>
      </c>
      <c r="D230" s="102" t="e">
        <f>+D218/D222</f>
        <v>#REF!</v>
      </c>
      <c r="E230" s="102" t="e">
        <f>+E218/E222</f>
        <v>#REF!</v>
      </c>
    </row>
    <row r="231" spans="3:5" ht="13" customHeight="1">
      <c r="C231" s="14" t="s">
        <v>469</v>
      </c>
      <c r="D231" s="106" t="e">
        <f>+D218/(D218+D222)</f>
        <v>#REF!</v>
      </c>
      <c r="E231" s="106" t="e">
        <f>+E218/(E218+E222)</f>
        <v>#REF!</v>
      </c>
    </row>
    <row r="232" spans="3:5" ht="13" customHeight="1">
      <c r="C232" s="100"/>
      <c r="D232" s="19"/>
      <c r="E232" s="19"/>
    </row>
    <row r="233" spans="3:5" ht="13" customHeight="1">
      <c r="C233" s="14" t="s">
        <v>470</v>
      </c>
      <c r="D233" s="102" t="e">
        <f>+D218/D226</f>
        <v>#REF!</v>
      </c>
      <c r="E233" s="102" t="e">
        <f>+E218/E226</f>
        <v>#REF!</v>
      </c>
    </row>
    <row r="234" spans="3:5" ht="13" customHeight="1">
      <c r="C234" s="14" t="s">
        <v>471</v>
      </c>
      <c r="D234" s="102" t="e">
        <f>+D227/-D224</f>
        <v>#REF!</v>
      </c>
      <c r="E234" s="102" t="e">
        <f>+E227/-E224</f>
        <v>#REF!</v>
      </c>
    </row>
    <row r="235" spans="3:5" ht="13" customHeight="1">
      <c r="C235" s="100"/>
      <c r="D235" s="19"/>
      <c r="E235" s="19"/>
    </row>
    <row r="236" spans="3:5" ht="13" customHeight="1">
      <c r="C236" s="14" t="s">
        <v>472</v>
      </c>
      <c r="D236" s="103"/>
      <c r="E236" s="102" t="e">
        <f>+E228/(-E220-E224)</f>
        <v>#REF!</v>
      </c>
    </row>
    <row r="237" spans="3:5" ht="13" customHeight="1">
      <c r="C237" s="100"/>
      <c r="D237" s="19"/>
      <c r="E237" s="19"/>
    </row>
    <row r="238" spans="3:5" ht="13" customHeight="1">
      <c r="C238" s="8" t="s">
        <v>90</v>
      </c>
      <c r="D238" s="17" t="e">
        <f>+D104</f>
        <v>#REF!</v>
      </c>
      <c r="E238" s="17" t="e">
        <f>+E104</f>
        <v>#REF!</v>
      </c>
    </row>
    <row r="239" spans="3:5" ht="13" customHeight="1">
      <c r="C239" s="8" t="s">
        <v>473</v>
      </c>
      <c r="D239" s="17">
        <f>+AsReported!G82</f>
        <v>0</v>
      </c>
      <c r="E239" s="17">
        <f>+AsReported!I82</f>
        <v>160.96</v>
      </c>
    </row>
    <row r="240" spans="3:5" ht="13" customHeight="1">
      <c r="C240" s="14" t="s">
        <v>474</v>
      </c>
      <c r="D240" s="164" t="e">
        <f>+D239/D238</f>
        <v>#REF!</v>
      </c>
      <c r="E240" s="164" t="e">
        <f>+E239/E238</f>
        <v>#REF!</v>
      </c>
    </row>
    <row r="241" spans="3:5" ht="13" customHeight="1">
      <c r="C241" s="6"/>
      <c r="D241" s="6"/>
      <c r="E241" s="6"/>
    </row>
    <row r="242" spans="3:5" ht="13" customHeight="1">
      <c r="C242" s="1" t="s">
        <v>475</v>
      </c>
      <c r="D242" s="163">
        <f>+Restatements!$H$5</f>
        <v>44561</v>
      </c>
      <c r="E242" s="163">
        <f>+Restatements!$I$5</f>
        <v>44926</v>
      </c>
    </row>
    <row r="243" spans="3:5" ht="13" customHeight="1">
      <c r="C243" s="100"/>
      <c r="D243" s="19"/>
      <c r="E243" s="19"/>
    </row>
    <row r="244" spans="3:5" ht="13" customHeight="1">
      <c r="C244" s="8" t="s">
        <v>476</v>
      </c>
      <c r="D244" s="17" t="e">
        <f>+D23</f>
        <v>#REF!</v>
      </c>
      <c r="E244" s="17" t="e">
        <f>+E23</f>
        <v>#REF!</v>
      </c>
    </row>
    <row r="245" spans="3:5" ht="13" customHeight="1">
      <c r="C245" s="8" t="s">
        <v>119</v>
      </c>
      <c r="D245" s="17" t="e">
        <f>+D35</f>
        <v>#REF!</v>
      </c>
      <c r="E245" s="17" t="e">
        <f>+E35</f>
        <v>#REF!</v>
      </c>
    </row>
    <row r="246" spans="3:5" ht="13" customHeight="1">
      <c r="C246" s="8" t="s">
        <v>477</v>
      </c>
      <c r="D246" s="17" t="e">
        <f>+D244-D245</f>
        <v>#REF!</v>
      </c>
      <c r="E246" s="17" t="e">
        <f>+E244-E245</f>
        <v>#REF!</v>
      </c>
    </row>
    <row r="247" spans="3:5" ht="13" customHeight="1">
      <c r="C247" s="8" t="s">
        <v>478</v>
      </c>
      <c r="D247" s="17" t="e">
        <f>+H24</f>
        <v>#REF!</v>
      </c>
      <c r="E247" s="17" t="e">
        <f>+I24</f>
        <v>#REF!</v>
      </c>
    </row>
    <row r="248" spans="3:5" ht="13" customHeight="1">
      <c r="C248" s="100"/>
      <c r="D248" s="19"/>
      <c r="E248" s="19"/>
    </row>
    <row r="249" spans="3:5" ht="13" customHeight="1">
      <c r="C249" s="14" t="s">
        <v>479</v>
      </c>
      <c r="D249" s="102" t="e">
        <f>+D244/D247</f>
        <v>#REF!</v>
      </c>
      <c r="E249" s="102" t="e">
        <f>+E244/E247</f>
        <v>#REF!</v>
      </c>
    </row>
    <row r="250" spans="3:5" ht="13" customHeight="1">
      <c r="C250" s="14" t="s">
        <v>480</v>
      </c>
      <c r="D250" s="102" t="e">
        <f>+D246/D247</f>
        <v>#REF!</v>
      </c>
      <c r="E250" s="102" t="e">
        <f>+E246/E247</f>
        <v>#REF!</v>
      </c>
    </row>
    <row r="251" spans="3:5" ht="13" customHeight="1">
      <c r="C251" s="8"/>
      <c r="D251" s="17"/>
      <c r="E251" s="17"/>
    </row>
    <row r="252" spans="3:5" ht="13" customHeight="1">
      <c r="C252" s="1" t="s">
        <v>481</v>
      </c>
      <c r="D252" s="163">
        <f>+Restatements!$H$5</f>
        <v>44561</v>
      </c>
      <c r="E252" s="163">
        <f>+Restatements!$I$5</f>
        <v>44926</v>
      </c>
    </row>
    <row r="253" spans="3:5" ht="13" customHeight="1">
      <c r="C253" s="100"/>
      <c r="D253" s="19"/>
      <c r="E253" s="19"/>
    </row>
    <row r="254" spans="3:5" ht="13" customHeight="1">
      <c r="C254" s="8" t="s">
        <v>76</v>
      </c>
      <c r="D254" s="17" t="e">
        <f>+D59</f>
        <v>#REF!</v>
      </c>
      <c r="E254" s="17" t="e">
        <f>+E59</f>
        <v>#REF!</v>
      </c>
    </row>
    <row r="255" spans="3:5" ht="13" customHeight="1">
      <c r="C255" s="8" t="s">
        <v>84</v>
      </c>
      <c r="D255" s="17" t="e">
        <f>+D95</f>
        <v>#REF!</v>
      </c>
      <c r="E255" s="17" t="e">
        <f>+E95</f>
        <v>#REF!</v>
      </c>
    </row>
    <row r="256" spans="3:5" ht="13" customHeight="1">
      <c r="C256" s="8" t="s">
        <v>448</v>
      </c>
      <c r="D256" s="17" t="e">
        <f>+D112</f>
        <v>#REF!</v>
      </c>
      <c r="E256" s="17" t="e">
        <f>+E112</f>
        <v>#REF!</v>
      </c>
    </row>
    <row r="257" spans="3:5" ht="13" customHeight="1">
      <c r="C257" s="8" t="s">
        <v>443</v>
      </c>
      <c r="D257" s="17" t="e">
        <f>+D224</f>
        <v>#REF!</v>
      </c>
      <c r="E257" s="17" t="e">
        <f>+E224</f>
        <v>#REF!</v>
      </c>
    </row>
    <row r="258" spans="3:5" ht="13" customHeight="1">
      <c r="C258" s="8" t="s">
        <v>90</v>
      </c>
      <c r="D258" s="17" t="e">
        <f>+D104</f>
        <v>#REF!</v>
      </c>
      <c r="E258" s="17" t="e">
        <f>+E104</f>
        <v>#REF!</v>
      </c>
    </row>
    <row r="259" spans="3:5" ht="13" customHeight="1">
      <c r="C259" s="100"/>
      <c r="D259" s="19"/>
      <c r="E259" s="19"/>
    </row>
    <row r="260" spans="3:5" ht="13" customHeight="1">
      <c r="C260" s="8" t="s">
        <v>445</v>
      </c>
      <c r="D260" s="104" t="e">
        <f>+D109</f>
        <v>#REF!</v>
      </c>
      <c r="E260" s="104" t="e">
        <f>+E109</f>
        <v>#REF!</v>
      </c>
    </row>
    <row r="261" spans="3:5" ht="13" customHeight="1">
      <c r="C261" s="8" t="s">
        <v>127</v>
      </c>
      <c r="D261" s="17" t="e">
        <f>+D45</f>
        <v>#REF!</v>
      </c>
      <c r="E261" s="17" t="e">
        <f>+E45</f>
        <v>#REF!</v>
      </c>
    </row>
    <row r="262" spans="3:5" ht="13" customHeight="1">
      <c r="C262" s="8" t="s">
        <v>133</v>
      </c>
      <c r="D262" s="17" t="e">
        <f>+D52</f>
        <v>#REF!</v>
      </c>
      <c r="E262" s="17" t="e">
        <f>+E52</f>
        <v>#REF!</v>
      </c>
    </row>
    <row r="263" spans="3:5" ht="13" customHeight="1">
      <c r="C263" s="8" t="s">
        <v>431</v>
      </c>
      <c r="D263" s="17" t="e">
        <f>+D218</f>
        <v>#REF!</v>
      </c>
      <c r="E263" s="17" t="e">
        <f>+E218</f>
        <v>#REF!</v>
      </c>
    </row>
    <row r="264" spans="3:5" ht="13" customHeight="1">
      <c r="C264" s="8" t="s">
        <v>482</v>
      </c>
      <c r="D264" s="17" t="e">
        <f>+D222</f>
        <v>#REF!</v>
      </c>
      <c r="E264" s="17" t="e">
        <f>+E222</f>
        <v>#REF!</v>
      </c>
    </row>
    <row r="265" spans="3:5" ht="13" customHeight="1">
      <c r="C265" s="100"/>
      <c r="D265" s="19"/>
      <c r="E265" s="19"/>
    </row>
    <row r="266" spans="3:5" ht="13" customHeight="1">
      <c r="C266" s="14" t="s">
        <v>360</v>
      </c>
      <c r="D266" s="106" t="e">
        <f>D256/D261</f>
        <v>#REF!</v>
      </c>
      <c r="E266" s="106" t="e">
        <f>E256/E261</f>
        <v>#REF!</v>
      </c>
    </row>
    <row r="267" spans="3:5" ht="13" customHeight="1">
      <c r="C267" s="105" t="s">
        <v>483</v>
      </c>
      <c r="D267" s="86" t="e">
        <f>1-D260</f>
        <v>#REF!</v>
      </c>
      <c r="E267" s="86" t="e">
        <f>1-E260</f>
        <v>#REF!</v>
      </c>
    </row>
    <row r="268" spans="3:5" ht="13" customHeight="1">
      <c r="C268" s="105" t="s">
        <v>484</v>
      </c>
      <c r="D268" s="119" t="e">
        <f>+D254/D261</f>
        <v>#REF!</v>
      </c>
      <c r="E268" s="119" t="e">
        <f>+E254/E261</f>
        <v>#REF!</v>
      </c>
    </row>
    <row r="269" spans="3:5" ht="13" customHeight="1">
      <c r="C269" s="105" t="s">
        <v>485</v>
      </c>
      <c r="D269" s="86" t="e">
        <f>+D255/D254</f>
        <v>#REF!</v>
      </c>
      <c r="E269" s="86" t="e">
        <f>+E255/E254</f>
        <v>#REF!</v>
      </c>
    </row>
    <row r="270" spans="3:5" ht="13" customHeight="1">
      <c r="C270" s="100"/>
      <c r="D270" s="86"/>
      <c r="E270" s="86"/>
    </row>
    <row r="271" spans="3:5" ht="13" customHeight="1">
      <c r="C271" s="14" t="s">
        <v>359</v>
      </c>
      <c r="D271" s="106" t="e">
        <f>+D258/D264</f>
        <v>#REF!</v>
      </c>
      <c r="E271" s="106" t="e">
        <f>+E258/E264</f>
        <v>#REF!</v>
      </c>
    </row>
    <row r="272" spans="3:5" ht="13" customHeight="1">
      <c r="C272" s="14" t="s">
        <v>486</v>
      </c>
      <c r="D272" s="106" t="e">
        <f>-D257/D263</f>
        <v>#REF!</v>
      </c>
      <c r="E272" s="106" t="e">
        <f>-E257/E263</f>
        <v>#REF!</v>
      </c>
    </row>
    <row r="273" spans="3:7" ht="13" customHeight="1">
      <c r="C273" s="6"/>
      <c r="D273" s="6"/>
      <c r="E273" s="6"/>
    </row>
    <row r="274" spans="3:7" ht="13" customHeight="1">
      <c r="C274" s="14" t="s">
        <v>487</v>
      </c>
      <c r="D274" s="106" t="e">
        <f>+D267*D268*D269</f>
        <v>#REF!</v>
      </c>
      <c r="E274" s="106" t="e">
        <f>+E267*E268*E269</f>
        <v>#REF!</v>
      </c>
    </row>
    <row r="275" spans="3:7" ht="13" customHeight="1">
      <c r="C275" s="8" t="s">
        <v>145</v>
      </c>
      <c r="D275" s="3" t="e">
        <f>+D274-D266</f>
        <v>#REF!</v>
      </c>
      <c r="E275" s="3" t="e">
        <f>+E274-E266</f>
        <v>#REF!</v>
      </c>
    </row>
    <row r="276" spans="3:7" ht="13" customHeight="1">
      <c r="C276" s="8"/>
      <c r="D276" s="3"/>
      <c r="E276" s="3"/>
    </row>
    <row r="277" spans="3:7" ht="13" customHeight="1">
      <c r="C277" s="8" t="s">
        <v>488</v>
      </c>
      <c r="D277" s="86" t="e">
        <f>+D266+(D266-D267*D272)*D230</f>
        <v>#REF!</v>
      </c>
      <c r="E277" s="86" t="e">
        <f>+E266+(E266-E267*E272)*E230</f>
        <v>#REF!</v>
      </c>
    </row>
    <row r="278" spans="3:7" ht="13" customHeight="1">
      <c r="C278" s="8" t="s">
        <v>145</v>
      </c>
      <c r="D278" s="86" t="e">
        <f>+D277-D271</f>
        <v>#REF!</v>
      </c>
      <c r="E278" s="86" t="e">
        <f>+E277-E271</f>
        <v>#REF!</v>
      </c>
      <c r="G278" s="13" t="s">
        <v>489</v>
      </c>
    </row>
    <row r="279" spans="3:7" ht="13" customHeight="1">
      <c r="C279" s="8"/>
      <c r="D279" s="86"/>
      <c r="E279" s="86"/>
      <c r="G279" s="13" t="s">
        <v>490</v>
      </c>
    </row>
    <row r="280" spans="3:7" ht="13" customHeight="1">
      <c r="C280" s="8"/>
      <c r="D280" s="86"/>
      <c r="E280" s="86"/>
      <c r="G280" s="13" t="s">
        <v>491</v>
      </c>
    </row>
    <row r="281" spans="3:7" ht="13" customHeight="1">
      <c r="C281" s="8" t="s">
        <v>492</v>
      </c>
      <c r="D281" s="19" t="e">
        <f>+(D95+D99+D100)*(1-D109)</f>
        <v>#REF!</v>
      </c>
      <c r="E281" s="19" t="e">
        <f>+(E95+E99+E100)*(1-E109)</f>
        <v>#REF!</v>
      </c>
      <c r="G281" s="13" t="s">
        <v>493</v>
      </c>
    </row>
    <row r="282" spans="3:7" ht="13" customHeight="1">
      <c r="C282" s="8" t="s">
        <v>494</v>
      </c>
      <c r="D282" s="86" t="e">
        <f>D281/D262</f>
        <v>#REF!</v>
      </c>
      <c r="E282" s="86" t="e">
        <f>E281/E262</f>
        <v>#REF!</v>
      </c>
      <c r="G282" s="13" t="s">
        <v>495</v>
      </c>
    </row>
    <row r="283" spans="3:7" ht="13" customHeight="1">
      <c r="C283" s="14" t="s">
        <v>496</v>
      </c>
      <c r="D283" s="106" t="e">
        <f>+D282+(D282-D267*D272)*D230</f>
        <v>#REF!</v>
      </c>
      <c r="E283" s="106" t="e">
        <f>+E282+(E282-E267*E272)*E230</f>
        <v>#REF!</v>
      </c>
    </row>
    <row r="284" spans="3:7" ht="13" customHeight="1">
      <c r="C284" s="8" t="s">
        <v>145</v>
      </c>
      <c r="D284" s="86" t="e">
        <f>+D283-D271</f>
        <v>#REF!</v>
      </c>
      <c r="E284" s="86" t="e">
        <f>+E283-E271</f>
        <v>#REF!</v>
      </c>
      <c r="G284" s="13" t="s">
        <v>497</v>
      </c>
    </row>
    <row r="285" spans="3:7" ht="13" customHeight="1">
      <c r="C285" s="6"/>
      <c r="D285" s="19"/>
      <c r="E285" s="19"/>
    </row>
    <row r="286" spans="3:7" ht="13" customHeight="1">
      <c r="C286" s="1" t="s">
        <v>481</v>
      </c>
      <c r="D286" s="163">
        <f>+Restatements!$H$5</f>
        <v>44561</v>
      </c>
      <c r="E286" s="163">
        <f>+Restatements!$I$5</f>
        <v>44926</v>
      </c>
    </row>
    <row r="287" spans="3:7" ht="13" customHeight="1">
      <c r="C287" s="100"/>
      <c r="D287" s="19"/>
      <c r="E287" s="19"/>
    </row>
    <row r="288" spans="3:7" ht="13" customHeight="1">
      <c r="C288" s="8" t="s">
        <v>498</v>
      </c>
      <c r="D288" s="165">
        <v>3.2770000000000001</v>
      </c>
      <c r="E288" s="165">
        <v>4.2130000000000001</v>
      </c>
    </row>
    <row r="289" spans="3:5" ht="13" customHeight="1">
      <c r="C289" s="8" t="s">
        <v>499</v>
      </c>
      <c r="D289" s="129">
        <v>580.79999999999995</v>
      </c>
      <c r="E289" s="129">
        <v>580.79999999999995</v>
      </c>
    </row>
    <row r="290" spans="3:5" ht="13" customHeight="1">
      <c r="C290" s="8" t="s">
        <v>90</v>
      </c>
      <c r="D290" s="17" t="e">
        <f>+D238</f>
        <v>#REF!</v>
      </c>
      <c r="E290" s="17" t="e">
        <f>+E238</f>
        <v>#REF!</v>
      </c>
    </row>
    <row r="291" spans="3:5" ht="13" customHeight="1">
      <c r="C291" s="8" t="s">
        <v>473</v>
      </c>
      <c r="D291" s="17">
        <f>+D239</f>
        <v>0</v>
      </c>
      <c r="E291" s="17">
        <f>+E239</f>
        <v>160.96</v>
      </c>
    </row>
    <row r="292" spans="3:5" ht="13" customHeight="1">
      <c r="C292" s="6"/>
      <c r="D292" s="19"/>
      <c r="E292" s="19"/>
    </row>
    <row r="293" spans="3:5" ht="13" customHeight="1">
      <c r="C293" s="14" t="s">
        <v>500</v>
      </c>
      <c r="D293" s="166" t="e">
        <f>+D290/D289</f>
        <v>#REF!</v>
      </c>
      <c r="E293" s="166" t="e">
        <f>+E290/E289</f>
        <v>#REF!</v>
      </c>
    </row>
    <row r="294" spans="3:5" ht="13" customHeight="1">
      <c r="C294" s="14" t="s">
        <v>501</v>
      </c>
      <c r="D294" s="166">
        <f>+D291/D289</f>
        <v>0</v>
      </c>
      <c r="E294" s="166">
        <f>+E291/E289</f>
        <v>0.27713498622589533</v>
      </c>
    </row>
    <row r="295" spans="3:5" ht="13" customHeight="1">
      <c r="C295" s="14" t="s">
        <v>502</v>
      </c>
      <c r="D295" s="167" t="e">
        <f>+D288/D293</f>
        <v>#REF!</v>
      </c>
      <c r="E295" s="167" t="e">
        <f>+E288/E293</f>
        <v>#REF!</v>
      </c>
    </row>
    <row r="296" spans="3:5" ht="13" customHeight="1">
      <c r="C296" s="14" t="s">
        <v>503</v>
      </c>
      <c r="D296" s="106">
        <f>+D294/D288</f>
        <v>0</v>
      </c>
      <c r="E296" s="106">
        <f>+E294/E288</f>
        <v>6.5780912942296543E-2</v>
      </c>
    </row>
    <row r="297" spans="3:5" ht="13" customHeight="1">
      <c r="C297" s="6"/>
      <c r="D297" s="19"/>
      <c r="E297" s="19"/>
    </row>
    <row r="298" spans="3:5" ht="13" customHeight="1">
      <c r="C298" s="1" t="s">
        <v>504</v>
      </c>
      <c r="D298" s="163">
        <f>+Restatements!$J$5</f>
        <v>2023</v>
      </c>
      <c r="E298" s="163">
        <f>+Restatements!$K$5</f>
        <v>2024</v>
      </c>
    </row>
    <row r="299" spans="3:5" ht="5" customHeight="1"/>
    <row r="300" spans="3:5" ht="13" customHeight="1">
      <c r="C300" s="8" t="s">
        <v>76</v>
      </c>
      <c r="D300" s="67" t="e">
        <f>+#REF!</f>
        <v>#REF!</v>
      </c>
      <c r="E300" s="67" t="e">
        <f>+#REF!</f>
        <v>#REF!</v>
      </c>
    </row>
    <row r="301" spans="3:5" ht="13" customHeight="1">
      <c r="C301" s="8" t="s">
        <v>505</v>
      </c>
      <c r="D301" s="67" t="e">
        <f>SUM(#REF!)</f>
        <v>#REF!</v>
      </c>
      <c r="E301" s="67" t="e">
        <f>SUM(#REF!)</f>
        <v>#REF!</v>
      </c>
    </row>
    <row r="302" spans="3:5" ht="13" customHeight="1">
      <c r="C302" s="8" t="s">
        <v>244</v>
      </c>
      <c r="D302" s="111" t="e">
        <f>+#REF!</f>
        <v>#REF!</v>
      </c>
      <c r="E302" s="111" t="e">
        <f>+#REF!</f>
        <v>#REF!</v>
      </c>
    </row>
    <row r="303" spans="3:5" ht="13" customHeight="1">
      <c r="C303" s="8" t="s">
        <v>85</v>
      </c>
      <c r="D303" s="111" t="e">
        <f>+#REF!</f>
        <v>#REF!</v>
      </c>
      <c r="E303" s="111" t="e">
        <f>+#REF!</f>
        <v>#REF!</v>
      </c>
    </row>
    <row r="304" spans="3:5" ht="13" customHeight="1">
      <c r="C304" s="8" t="s">
        <v>506</v>
      </c>
      <c r="D304" s="111" t="e">
        <f>#REF!</f>
        <v>#REF!</v>
      </c>
      <c r="E304" s="111" t="e">
        <f>#REF!</f>
        <v>#REF!</v>
      </c>
    </row>
    <row r="305" spans="3:5" ht="13" customHeight="1">
      <c r="C305" s="14" t="s">
        <v>90</v>
      </c>
      <c r="D305" s="113" t="e">
        <f>+#REF!</f>
        <v>#REF!</v>
      </c>
      <c r="E305" s="113" t="e">
        <f>+#REF!</f>
        <v>#REF!</v>
      </c>
    </row>
    <row r="307" spans="3:5" ht="13" customHeight="1">
      <c r="C307" s="1" t="s">
        <v>33</v>
      </c>
      <c r="D307" s="163">
        <f>+Restatements!$J$5</f>
        <v>2023</v>
      </c>
      <c r="E307" s="163">
        <f>+Restatements!$K$5</f>
        <v>2024</v>
      </c>
    </row>
    <row r="308" spans="3:5" ht="5" customHeight="1"/>
    <row r="309" spans="3:5" ht="13" customHeight="1">
      <c r="C309" s="8" t="s">
        <v>507</v>
      </c>
      <c r="D309" s="67" t="e">
        <f>+#REF!</f>
        <v>#REF!</v>
      </c>
      <c r="E309" s="67" t="e">
        <f>+#REF!</f>
        <v>#REF!</v>
      </c>
    </row>
    <row r="310" spans="3:5" ht="13" customHeight="1">
      <c r="C310" s="8" t="s">
        <v>126</v>
      </c>
      <c r="D310" s="67" t="e">
        <f>+#REF!</f>
        <v>#REF!</v>
      </c>
      <c r="E310" s="67" t="e">
        <f>+#REF!</f>
        <v>#REF!</v>
      </c>
    </row>
    <row r="311" spans="3:5" ht="13" customHeight="1">
      <c r="C311" s="8" t="s">
        <v>132</v>
      </c>
      <c r="D311" s="67" t="e">
        <f>+#REF!</f>
        <v>#REF!</v>
      </c>
      <c r="E311" s="67" t="e">
        <f>+#REF!</f>
        <v>#REF!</v>
      </c>
    </row>
    <row r="312" spans="3:5" ht="13" customHeight="1">
      <c r="C312" s="8" t="s">
        <v>508</v>
      </c>
      <c r="D312" s="67" t="e">
        <f>-#REF!</f>
        <v>#REF!</v>
      </c>
      <c r="E312" s="67" t="e">
        <f>-#REF!</f>
        <v>#REF!</v>
      </c>
    </row>
    <row r="313" spans="3:5" ht="13" customHeight="1">
      <c r="C313" s="14" t="s">
        <v>509</v>
      </c>
      <c r="D313" s="113" t="e">
        <f>SUM(D309:D312)</f>
        <v>#REF!</v>
      </c>
      <c r="E313" s="113" t="e">
        <f>SUM(E309:E312)</f>
        <v>#REF!</v>
      </c>
    </row>
    <row r="314" spans="3:5" ht="5" customHeight="1">
      <c r="C314" s="8"/>
      <c r="D314" s="67"/>
      <c r="E314" s="67"/>
    </row>
    <row r="315" spans="3:5" ht="13" customHeight="1">
      <c r="C315" s="8" t="s">
        <v>510</v>
      </c>
      <c r="D315" s="67" t="e">
        <f>+#REF!+#REF!+#REF!</f>
        <v>#REF!</v>
      </c>
      <c r="E315" s="67" t="e">
        <f>+#REF!+#REF!+#REF!</f>
        <v>#REF!</v>
      </c>
    </row>
    <row r="316" spans="3:5" ht="13" customHeight="1">
      <c r="C316" s="8" t="s">
        <v>482</v>
      </c>
      <c r="D316" s="67" t="e">
        <f>+#REF!</f>
        <v>#REF!</v>
      </c>
      <c r="E316" s="67" t="e">
        <f>+#REF!</f>
        <v>#REF!</v>
      </c>
    </row>
    <row r="317" spans="3:5" ht="13" customHeight="1">
      <c r="C317" s="14" t="s">
        <v>511</v>
      </c>
      <c r="D317" s="113" t="e">
        <f>+D316+D315</f>
        <v>#REF!</v>
      </c>
      <c r="E317" s="113" t="e">
        <f>+E316+E315</f>
        <v>#REF!</v>
      </c>
    </row>
    <row r="318" spans="3:5" ht="13" customHeight="1">
      <c r="C318" s="8"/>
      <c r="D318" s="32"/>
      <c r="E318" s="32"/>
    </row>
    <row r="319" spans="3:5" ht="13" customHeight="1">
      <c r="C319" s="8"/>
      <c r="D319" s="32"/>
      <c r="E319" s="32"/>
    </row>
    <row r="320" spans="3:5" ht="13" customHeight="1">
      <c r="C320" s="1" t="s">
        <v>156</v>
      </c>
      <c r="D320" s="163">
        <f>+Restatements!$J$5</f>
        <v>2023</v>
      </c>
      <c r="E320" s="163">
        <f>+Restatements!$K$5</f>
        <v>2024</v>
      </c>
    </row>
    <row r="321" spans="3:13" ht="5" customHeight="1"/>
    <row r="322" spans="3:13" ht="13" customHeight="1">
      <c r="C322" s="14" t="s">
        <v>163</v>
      </c>
      <c r="D322" s="113" t="e">
        <f>+#REF!</f>
        <v>#REF!</v>
      </c>
      <c r="E322" s="113" t="e">
        <f>+#REF!</f>
        <v>#REF!</v>
      </c>
    </row>
    <row r="323" spans="3:13" ht="13" customHeight="1">
      <c r="C323" s="8" t="str">
        <f t="shared" ref="C323:E324" si="3">+C303</f>
        <v>Interest income</v>
      </c>
      <c r="D323" s="67" t="e">
        <f>+D303</f>
        <v>#REF!</v>
      </c>
      <c r="E323" s="67" t="e">
        <f>+E303</f>
        <v>#REF!</v>
      </c>
    </row>
    <row r="324" spans="3:13" ht="13" customHeight="1">
      <c r="C324" s="8" t="str">
        <f t="shared" si="3"/>
        <v>Interest expense</v>
      </c>
      <c r="D324" s="67" t="e">
        <f t="shared" si="3"/>
        <v>#REF!</v>
      </c>
      <c r="E324" s="67" t="e">
        <f t="shared" si="3"/>
        <v>#REF!</v>
      </c>
    </row>
    <row r="325" spans="3:13" ht="13" customHeight="1">
      <c r="C325" s="8" t="s">
        <v>164</v>
      </c>
      <c r="D325" s="67" t="e">
        <f>+#REF!</f>
        <v>#REF!</v>
      </c>
      <c r="E325" s="67" t="e">
        <f>+#REF!</f>
        <v>#REF!</v>
      </c>
    </row>
    <row r="326" spans="3:13" ht="13" customHeight="1">
      <c r="C326" s="8" t="s">
        <v>512</v>
      </c>
      <c r="D326" s="67" t="e">
        <f>+#REF!</f>
        <v>#REF!</v>
      </c>
      <c r="E326" s="67" t="e">
        <f>+#REF!</f>
        <v>#REF!</v>
      </c>
    </row>
    <row r="327" spans="3:13" ht="13" customHeight="1">
      <c r="C327" s="14" t="s">
        <v>168</v>
      </c>
      <c r="D327" s="113" t="e">
        <f>+#REF!</f>
        <v>#REF!</v>
      </c>
      <c r="E327" s="113" t="e">
        <f>+#REF!</f>
        <v>#REF!</v>
      </c>
    </row>
    <row r="328" spans="3:13" ht="13" customHeight="1">
      <c r="C328" s="8" t="s">
        <v>450</v>
      </c>
      <c r="D328" s="67" t="e">
        <f>+#REF!</f>
        <v>#REF!</v>
      </c>
      <c r="E328" s="67" t="e">
        <f>+#REF!</f>
        <v>#REF!</v>
      </c>
    </row>
    <row r="329" spans="3:13" ht="13" customHeight="1">
      <c r="C329" s="14" t="s">
        <v>172</v>
      </c>
      <c r="D329" s="113" t="e">
        <f>+#REF!</f>
        <v>#REF!</v>
      </c>
      <c r="E329" s="113" t="e">
        <f>+#REF!</f>
        <v>#REF!</v>
      </c>
    </row>
    <row r="330" spans="3:13" ht="5" customHeight="1">
      <c r="C330" s="8"/>
      <c r="D330" s="67"/>
      <c r="E330" s="67"/>
    </row>
    <row r="331" spans="3:13" ht="13" customHeight="1">
      <c r="C331" s="8" t="s">
        <v>513</v>
      </c>
      <c r="D331" s="67" t="e">
        <f>-#REF!</f>
        <v>#REF!</v>
      </c>
      <c r="E331" s="67" t="e">
        <f>-#REF!</f>
        <v>#REF!</v>
      </c>
    </row>
    <row r="332" spans="3:13" ht="13" customHeight="1">
      <c r="C332" s="8" t="s">
        <v>514</v>
      </c>
      <c r="D332" s="67" t="e">
        <f>D312</f>
        <v>#REF!</v>
      </c>
      <c r="E332" s="67" t="e">
        <f>E312</f>
        <v>#REF!</v>
      </c>
    </row>
    <row r="334" spans="3:13" ht="13" customHeight="1">
      <c r="K334" s="1" t="s">
        <v>504</v>
      </c>
      <c r="L334" s="163"/>
      <c r="M334" s="163">
        <v>43830</v>
      </c>
    </row>
    <row r="335" spans="3:13" ht="13" customHeight="1">
      <c r="K335" s="8" t="s">
        <v>76</v>
      </c>
      <c r="L335" s="67"/>
      <c r="M335" s="67">
        <v>1000</v>
      </c>
    </row>
    <row r="336" spans="3:13" ht="13" customHeight="1">
      <c r="K336" s="8" t="s">
        <v>515</v>
      </c>
      <c r="L336" s="67"/>
      <c r="M336" s="67">
        <v>-500</v>
      </c>
    </row>
    <row r="337" spans="11:13" ht="13" customHeight="1">
      <c r="K337" s="14" t="s">
        <v>84</v>
      </c>
      <c r="L337" s="113"/>
      <c r="M337" s="113">
        <f>SUM(M335:M336)</f>
        <v>500</v>
      </c>
    </row>
    <row r="338" spans="11:13" ht="13" customHeight="1">
      <c r="K338" s="8" t="s">
        <v>516</v>
      </c>
      <c r="L338" s="111"/>
      <c r="M338" s="111">
        <v>-250</v>
      </c>
    </row>
    <row r="339" spans="11:13" ht="13" customHeight="1">
      <c r="K339" s="14" t="s">
        <v>90</v>
      </c>
      <c r="L339" s="113"/>
      <c r="M339" s="113">
        <f>+SUM(M337:M338)</f>
        <v>250</v>
      </c>
    </row>
    <row r="341" spans="11:13" ht="13" customHeight="1">
      <c r="K341" s="1" t="s">
        <v>33</v>
      </c>
      <c r="L341" s="163">
        <v>43465</v>
      </c>
      <c r="M341" s="163">
        <v>43830</v>
      </c>
    </row>
    <row r="342" spans="11:13" ht="13" customHeight="1">
      <c r="K342" s="8" t="s">
        <v>517</v>
      </c>
      <c r="L342" s="67">
        <v>400</v>
      </c>
      <c r="M342" s="67">
        <v>500</v>
      </c>
    </row>
    <row r="343" spans="11:13" ht="13" customHeight="1">
      <c r="K343" s="8" t="s">
        <v>126</v>
      </c>
      <c r="L343" s="67">
        <v>1200</v>
      </c>
      <c r="M343" s="67">
        <v>1500</v>
      </c>
    </row>
    <row r="344" spans="11:13" ht="13" customHeight="1">
      <c r="K344" s="8" t="s">
        <v>508</v>
      </c>
      <c r="L344" s="67">
        <v>200</v>
      </c>
      <c r="M344" s="67">
        <f>+L344+M358</f>
        <v>50</v>
      </c>
    </row>
    <row r="345" spans="11:13" ht="13" customHeight="1">
      <c r="K345" s="14" t="s">
        <v>509</v>
      </c>
      <c r="L345" s="113">
        <f>SUM(L342:L344)</f>
        <v>1800</v>
      </c>
      <c r="M345" s="113">
        <f>SUM(M342:M344)</f>
        <v>2050</v>
      </c>
    </row>
    <row r="346" spans="11:13" ht="13" customHeight="1">
      <c r="K346" s="8"/>
      <c r="L346" s="67"/>
      <c r="M346" s="67"/>
    </row>
    <row r="347" spans="11:13" ht="13" customHeight="1">
      <c r="K347" s="8" t="s">
        <v>436</v>
      </c>
      <c r="L347" s="67">
        <v>1100</v>
      </c>
      <c r="M347" s="67">
        <v>1100</v>
      </c>
    </row>
    <row r="348" spans="11:13" ht="13" customHeight="1">
      <c r="K348" s="8" t="s">
        <v>90</v>
      </c>
      <c r="L348" s="67">
        <v>200</v>
      </c>
      <c r="M348" s="67">
        <f>+M339</f>
        <v>250</v>
      </c>
    </row>
    <row r="349" spans="11:13" ht="13" customHeight="1">
      <c r="K349" s="8" t="s">
        <v>51</v>
      </c>
      <c r="L349" s="67">
        <v>500</v>
      </c>
      <c r="M349" s="67">
        <f>+L349+L348</f>
        <v>700</v>
      </c>
    </row>
    <row r="350" spans="11:13" ht="13" customHeight="1">
      <c r="K350" s="14" t="s">
        <v>511</v>
      </c>
      <c r="L350" s="113">
        <f>SUM(L347:L349)</f>
        <v>1800</v>
      </c>
      <c r="M350" s="113">
        <f>SUM(M347:M349)</f>
        <v>2050</v>
      </c>
    </row>
    <row r="351" spans="11:13" ht="13" customHeight="1">
      <c r="K351" s="8"/>
      <c r="L351" s="32"/>
      <c r="M351" s="32"/>
    </row>
    <row r="352" spans="11:13" ht="13" customHeight="1">
      <c r="K352" s="1" t="s">
        <v>156</v>
      </c>
      <c r="L352" s="163"/>
      <c r="M352" s="163">
        <v>43830</v>
      </c>
    </row>
    <row r="353" spans="11:13" ht="13" customHeight="1">
      <c r="K353" s="8" t="s">
        <v>80</v>
      </c>
      <c r="L353" s="67"/>
      <c r="M353" s="67">
        <f>+M337</f>
        <v>500</v>
      </c>
    </row>
    <row r="354" spans="11:13" ht="13" customHeight="1">
      <c r="K354" s="8" t="s">
        <v>518</v>
      </c>
      <c r="L354" s="67"/>
      <c r="M354" s="67">
        <f>-M342+L342</f>
        <v>-100</v>
      </c>
    </row>
    <row r="355" spans="11:13" ht="13" customHeight="1">
      <c r="K355" s="8" t="s">
        <v>183</v>
      </c>
      <c r="L355" s="67"/>
      <c r="M355" s="67">
        <f>-M343+L343</f>
        <v>-300</v>
      </c>
    </row>
    <row r="356" spans="11:13" ht="13" customHeight="1">
      <c r="K356" s="14" t="s">
        <v>163</v>
      </c>
      <c r="L356" s="113"/>
      <c r="M356" s="113">
        <f>SUM(M353:M355)</f>
        <v>100</v>
      </c>
    </row>
    <row r="357" spans="11:13" ht="13" customHeight="1">
      <c r="K357" s="8" t="s">
        <v>86</v>
      </c>
      <c r="L357" s="67"/>
      <c r="M357" s="67">
        <f>+M338</f>
        <v>-250</v>
      </c>
    </row>
    <row r="358" spans="11:13" ht="13" customHeight="1">
      <c r="K358" s="14" t="s">
        <v>519</v>
      </c>
      <c r="L358" s="113"/>
      <c r="M358" s="113">
        <f>+M356+M357</f>
        <v>-150</v>
      </c>
    </row>
  </sheetData>
  <pageMargins left="0.7" right="0.7" top="0.75" bottom="0.75" header="0.3" footer="0.3"/>
  <pageSetup paperSize="9" scale="68" orientation="portrait" r:id="rId1"/>
  <rowBreaks count="4" manualBreakCount="4">
    <brk id="53" max="8" man="1"/>
    <brk id="143" max="8" man="1"/>
    <brk id="192" max="16383" man="1"/>
    <brk id="251" max="9" man="1"/>
  </rowBreaks>
  <ignoredErrors>
    <ignoredError sqref="H42:I42 D207:E207" formula="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B2:E2145"/>
  <sheetViews>
    <sheetView showGridLines="0" zoomScaleNormal="100" workbookViewId="0"/>
  </sheetViews>
  <sheetFormatPr baseColWidth="10" defaultColWidth="8.75" defaultRowHeight="13.25" customHeight="1"/>
  <cols>
    <col min="2" max="2" width="13.25" bestFit="1" customWidth="1"/>
    <col min="3" max="3" width="10.75" bestFit="1" customWidth="1"/>
    <col min="4" max="4" width="9.25" bestFit="1" customWidth="1"/>
  </cols>
  <sheetData>
    <row r="2" spans="2:5" ht="13" customHeight="1">
      <c r="B2" s="1" t="s">
        <v>520</v>
      </c>
      <c r="C2" s="163"/>
      <c r="D2" s="163"/>
    </row>
    <row r="3" spans="2:5" ht="5" customHeight="1"/>
    <row r="4" spans="2:5" ht="13.25" customHeight="1">
      <c r="B4" s="194" t="s">
        <v>521</v>
      </c>
      <c r="C4" s="195" t="s">
        <v>522</v>
      </c>
      <c r="D4" s="195" t="s">
        <v>523</v>
      </c>
    </row>
    <row r="5" spans="2:5" ht="13.25" customHeight="1">
      <c r="B5" s="203">
        <v>41001</v>
      </c>
      <c r="C5" s="202">
        <v>2.184679</v>
      </c>
      <c r="D5" s="202">
        <v>3.1148340000000001</v>
      </c>
      <c r="E5" s="3"/>
    </row>
    <row r="6" spans="2:5" ht="13.25" customHeight="1">
      <c r="B6" s="203">
        <v>41002</v>
      </c>
      <c r="C6" s="202">
        <v>2.178328</v>
      </c>
      <c r="D6" s="202">
        <v>2.1332119999999999</v>
      </c>
      <c r="E6" s="3"/>
    </row>
    <row r="7" spans="2:5" ht="13.25" customHeight="1">
      <c r="B7" s="203">
        <v>41003</v>
      </c>
      <c r="C7" s="202">
        <v>2.1867960000000002</v>
      </c>
      <c r="D7" s="202">
        <v>7.0040620000000002</v>
      </c>
      <c r="E7" s="3"/>
    </row>
    <row r="8" spans="2:5" ht="13.25" customHeight="1">
      <c r="B8" s="203">
        <v>41004</v>
      </c>
      <c r="C8" s="202">
        <v>2.1825619999999999</v>
      </c>
      <c r="D8" s="202">
        <v>2.6911879999999999</v>
      </c>
      <c r="E8" s="3"/>
    </row>
    <row r="9" spans="2:5" ht="13.25" customHeight="1">
      <c r="B9" s="203">
        <v>41009</v>
      </c>
      <c r="C9" s="202">
        <v>2.1550419999999999</v>
      </c>
      <c r="D9" s="202">
        <v>3.3424640000000001</v>
      </c>
      <c r="E9" s="3"/>
    </row>
    <row r="10" spans="2:5" ht="13.25" customHeight="1">
      <c r="B10" s="203">
        <v>41010</v>
      </c>
      <c r="C10" s="202">
        <v>2.1592760000000002</v>
      </c>
      <c r="D10" s="202">
        <v>3.2533159999999999</v>
      </c>
      <c r="E10" s="3"/>
    </row>
    <row r="11" spans="2:5" ht="13.25" customHeight="1">
      <c r="B11" s="203">
        <v>41011</v>
      </c>
      <c r="C11" s="202">
        <v>2.2185489999999999</v>
      </c>
      <c r="D11" s="202">
        <v>3.2066140000000001</v>
      </c>
      <c r="E11" s="3"/>
    </row>
    <row r="12" spans="2:5" ht="13.25" customHeight="1">
      <c r="B12" s="203">
        <v>41012</v>
      </c>
      <c r="C12" s="202">
        <v>2.1762109999999999</v>
      </c>
      <c r="D12" s="202">
        <v>3.7498200000000002</v>
      </c>
      <c r="E12" s="3"/>
    </row>
    <row r="13" spans="2:5" ht="13.25" customHeight="1">
      <c r="B13" s="203">
        <v>41015</v>
      </c>
      <c r="C13" s="202">
        <v>2.178328</v>
      </c>
      <c r="D13" s="202">
        <v>2.4361619999999999</v>
      </c>
      <c r="E13" s="3"/>
    </row>
    <row r="14" spans="2:5" ht="13.25" customHeight="1">
      <c r="B14" s="203">
        <v>41016</v>
      </c>
      <c r="C14" s="202">
        <v>2.2291340000000002</v>
      </c>
      <c r="D14" s="202">
        <v>4.0609820000000001</v>
      </c>
      <c r="E14" s="3"/>
    </row>
    <row r="15" spans="2:5" ht="13.25" customHeight="1">
      <c r="B15" s="203">
        <v>41017</v>
      </c>
      <c r="C15" s="202">
        <v>2.2481870000000002</v>
      </c>
      <c r="D15" s="202">
        <v>3.4912459999999998</v>
      </c>
      <c r="E15" s="3"/>
    </row>
    <row r="16" spans="2:5" ht="13.25" customHeight="1">
      <c r="B16" s="203">
        <v>41018</v>
      </c>
      <c r="C16" s="202">
        <v>2.1931470000000002</v>
      </c>
      <c r="D16" s="202">
        <v>3.511066</v>
      </c>
      <c r="E16" s="3"/>
    </row>
    <row r="17" spans="2:5" ht="13.25" customHeight="1">
      <c r="B17" s="203">
        <v>41019</v>
      </c>
      <c r="C17" s="202">
        <v>2.1825619999999999</v>
      </c>
      <c r="D17" s="202">
        <v>2.4280759999999999</v>
      </c>
      <c r="E17" s="3"/>
    </row>
    <row r="18" spans="2:5" ht="13.25" customHeight="1">
      <c r="B18" s="203">
        <v>41022</v>
      </c>
      <c r="C18" s="202">
        <v>2.1529250000000002</v>
      </c>
      <c r="D18" s="202">
        <v>2.6636980000000001</v>
      </c>
      <c r="E18" s="3"/>
    </row>
    <row r="19" spans="2:5" ht="13.25" customHeight="1">
      <c r="B19" s="203">
        <v>41023</v>
      </c>
      <c r="C19" s="202">
        <v>2.184679</v>
      </c>
      <c r="D19" s="202">
        <v>3.4919479999999998</v>
      </c>
      <c r="E19" s="3"/>
    </row>
    <row r="20" spans="2:5" ht="13.25" customHeight="1">
      <c r="B20" s="203">
        <v>41024</v>
      </c>
      <c r="C20" s="202">
        <v>2.2312509999999999</v>
      </c>
      <c r="D20" s="202">
        <v>3.0257459999999998</v>
      </c>
      <c r="E20" s="3"/>
    </row>
    <row r="21" spans="2:5" ht="13.25" customHeight="1">
      <c r="B21" s="203">
        <v>41025</v>
      </c>
      <c r="C21" s="202">
        <v>2.2376019999999999</v>
      </c>
      <c r="D21" s="202">
        <v>2.8562419999999999</v>
      </c>
      <c r="E21" s="3"/>
    </row>
    <row r="22" spans="2:5" ht="13.25" customHeight="1">
      <c r="B22" s="203">
        <v>41026</v>
      </c>
      <c r="C22" s="202">
        <v>2.2481870000000002</v>
      </c>
      <c r="D22" s="202">
        <v>1.966464</v>
      </c>
      <c r="E22" s="3"/>
    </row>
    <row r="23" spans="2:5" ht="13.25" customHeight="1">
      <c r="B23" s="203">
        <v>41029</v>
      </c>
      <c r="C23" s="202">
        <v>2.2608890000000001</v>
      </c>
      <c r="D23" s="202">
        <v>3.3031199999999998</v>
      </c>
      <c r="E23" s="3"/>
    </row>
    <row r="24" spans="2:5" ht="13.25" customHeight="1">
      <c r="B24" s="203">
        <v>41031</v>
      </c>
      <c r="C24" s="202">
        <v>2.2248999999999999</v>
      </c>
      <c r="D24" s="202">
        <v>2.3711739999999999</v>
      </c>
      <c r="E24" s="3"/>
    </row>
    <row r="25" spans="2:5" ht="13.25" customHeight="1">
      <c r="B25" s="203">
        <v>41032</v>
      </c>
      <c r="C25" s="202">
        <v>2.2376019999999999</v>
      </c>
      <c r="D25" s="202">
        <v>2.6289639999999999</v>
      </c>
      <c r="E25" s="3"/>
    </row>
    <row r="26" spans="2:5" ht="13.25" customHeight="1">
      <c r="B26" s="203">
        <v>41033</v>
      </c>
      <c r="C26" s="202">
        <v>2.2227839999999999</v>
      </c>
      <c r="D26" s="202">
        <v>1.8902699999999999</v>
      </c>
      <c r="E26" s="3"/>
    </row>
    <row r="27" spans="2:5" ht="13.25" customHeight="1">
      <c r="B27" s="203">
        <v>41036</v>
      </c>
      <c r="C27" s="202">
        <v>2.2672400000000001</v>
      </c>
      <c r="D27" s="202">
        <v>1.81646</v>
      </c>
      <c r="E27" s="3"/>
    </row>
    <row r="28" spans="2:5" ht="13.25" customHeight="1">
      <c r="B28" s="203">
        <v>41037</v>
      </c>
      <c r="C28" s="202">
        <v>2.2248999999999999</v>
      </c>
      <c r="D28" s="202">
        <v>2.0974740000000001</v>
      </c>
      <c r="E28" s="3"/>
    </row>
    <row r="29" spans="2:5" ht="13.25" customHeight="1">
      <c r="B29" s="203">
        <v>41038</v>
      </c>
      <c r="C29" s="202">
        <v>2.2481870000000002</v>
      </c>
      <c r="D29" s="202">
        <v>2.1346479999999999</v>
      </c>
      <c r="E29" s="3"/>
    </row>
    <row r="30" spans="2:5" ht="13.25" customHeight="1">
      <c r="B30" s="203">
        <v>41039</v>
      </c>
      <c r="C30" s="202">
        <v>2.2630050000000002</v>
      </c>
      <c r="D30" s="202">
        <v>2.7703660000000001</v>
      </c>
      <c r="E30" s="3"/>
    </row>
    <row r="31" spans="2:5" ht="13.25" customHeight="1">
      <c r="B31" s="203">
        <v>41040</v>
      </c>
      <c r="C31" s="202">
        <v>2.2905259999999998</v>
      </c>
      <c r="D31" s="202">
        <v>4.3279779999999999</v>
      </c>
      <c r="E31" s="3"/>
    </row>
    <row r="32" spans="2:5" ht="13.25" customHeight="1">
      <c r="B32" s="203">
        <v>41043</v>
      </c>
      <c r="C32" s="202">
        <v>2.2693560000000002</v>
      </c>
      <c r="D32" s="202">
        <v>7.3849999999999998</v>
      </c>
      <c r="E32" s="3"/>
    </row>
    <row r="33" spans="2:5" ht="13.25" customHeight="1">
      <c r="B33" s="203">
        <v>41044</v>
      </c>
      <c r="C33" s="202">
        <v>2.3053439999999998</v>
      </c>
      <c r="D33" s="202">
        <v>8.5559480000000008</v>
      </c>
      <c r="E33" s="3"/>
    </row>
    <row r="34" spans="2:5" ht="13.25" customHeight="1">
      <c r="B34" s="203">
        <v>41045</v>
      </c>
      <c r="C34" s="202">
        <v>2.239719</v>
      </c>
      <c r="D34" s="202">
        <v>4.6707520000000002</v>
      </c>
      <c r="E34" s="3"/>
    </row>
    <row r="35" spans="2:5" ht="13.25" customHeight="1">
      <c r="B35" s="203">
        <v>41046</v>
      </c>
      <c r="C35" s="202">
        <v>2.24607</v>
      </c>
      <c r="D35" s="202">
        <v>2.879588</v>
      </c>
      <c r="E35" s="3"/>
    </row>
    <row r="36" spans="2:5" ht="13.25" customHeight="1">
      <c r="B36" s="203">
        <v>41047</v>
      </c>
      <c r="C36" s="202">
        <v>2.2376019999999999</v>
      </c>
      <c r="D36" s="202">
        <v>3.482008</v>
      </c>
      <c r="E36" s="3"/>
    </row>
    <row r="37" spans="2:5" ht="13.25" customHeight="1">
      <c r="B37" s="203">
        <v>41050</v>
      </c>
      <c r="C37" s="202">
        <v>2.2354280000000002</v>
      </c>
      <c r="D37" s="202">
        <v>2.8959220000000001</v>
      </c>
      <c r="E37" s="3"/>
    </row>
    <row r="38" spans="2:5" ht="13.25" customHeight="1">
      <c r="B38" s="203">
        <v>41051</v>
      </c>
      <c r="C38" s="202">
        <v>2.2854420000000002</v>
      </c>
      <c r="D38" s="202">
        <v>2.1116459999999999</v>
      </c>
      <c r="E38" s="3"/>
    </row>
    <row r="39" spans="2:5" ht="13.25" customHeight="1">
      <c r="B39" s="203">
        <v>41052</v>
      </c>
      <c r="C39" s="202">
        <v>2.2376019999999999</v>
      </c>
      <c r="D39" s="202">
        <v>1.94208</v>
      </c>
      <c r="E39" s="3"/>
    </row>
    <row r="40" spans="2:5" ht="13.25" customHeight="1">
      <c r="B40" s="203">
        <v>41053</v>
      </c>
      <c r="C40" s="202">
        <v>2.2528239999999999</v>
      </c>
      <c r="D40" s="202">
        <v>2.0818300000000001</v>
      </c>
      <c r="E40" s="3"/>
    </row>
    <row r="41" spans="2:5" ht="13.25" customHeight="1">
      <c r="B41" s="203">
        <v>41054</v>
      </c>
      <c r="C41" s="202">
        <v>2.259347</v>
      </c>
      <c r="D41" s="202">
        <v>1.300224</v>
      </c>
      <c r="E41" s="3"/>
    </row>
    <row r="42" spans="2:5" ht="13.25" customHeight="1">
      <c r="B42" s="203">
        <v>41057</v>
      </c>
      <c r="C42" s="202">
        <v>2.2506499999999998</v>
      </c>
      <c r="D42" s="202">
        <v>1.2095359999999999</v>
      </c>
      <c r="E42" s="3"/>
    </row>
    <row r="43" spans="2:5" ht="13.25" customHeight="1">
      <c r="B43" s="203">
        <v>41058</v>
      </c>
      <c r="C43" s="202">
        <v>2.2767439999999999</v>
      </c>
      <c r="D43" s="202">
        <v>1.983752</v>
      </c>
      <c r="E43" s="3"/>
    </row>
    <row r="44" spans="2:5" ht="13.25" customHeight="1">
      <c r="B44" s="203">
        <v>41059</v>
      </c>
      <c r="C44" s="202">
        <v>2.2332529999999999</v>
      </c>
      <c r="D44" s="202">
        <v>2.0025080000000002</v>
      </c>
      <c r="E44" s="3"/>
    </row>
    <row r="45" spans="2:5" ht="13.25" customHeight="1">
      <c r="B45" s="203">
        <v>41060</v>
      </c>
      <c r="C45" s="202">
        <v>2.2419509999999998</v>
      </c>
      <c r="D45" s="202">
        <v>2.1747779999999999</v>
      </c>
      <c r="E45" s="3"/>
    </row>
    <row r="46" spans="2:5" ht="13.25" customHeight="1">
      <c r="B46" s="203">
        <v>41061</v>
      </c>
      <c r="C46" s="202">
        <v>2.2136819999999999</v>
      </c>
      <c r="D46" s="202">
        <v>1.6666859999999999</v>
      </c>
      <c r="E46" s="3"/>
    </row>
    <row r="47" spans="2:5" ht="13.25" customHeight="1">
      <c r="B47" s="203">
        <v>41064</v>
      </c>
      <c r="C47" s="202">
        <v>2.209333</v>
      </c>
      <c r="D47" s="202">
        <v>1.5013719999999999</v>
      </c>
      <c r="E47" s="3"/>
    </row>
    <row r="48" spans="2:5" ht="13.25" customHeight="1">
      <c r="B48" s="203">
        <v>41065</v>
      </c>
      <c r="C48" s="202">
        <v>2.2071589999999999</v>
      </c>
      <c r="D48" s="202">
        <v>2.0247359999999999</v>
      </c>
      <c r="E48" s="3"/>
    </row>
    <row r="49" spans="2:5" ht="13.25" customHeight="1">
      <c r="B49" s="203">
        <v>41066</v>
      </c>
      <c r="C49" s="202">
        <v>2.2441260000000001</v>
      </c>
      <c r="D49" s="202">
        <v>3.0199919999999998</v>
      </c>
      <c r="E49" s="3"/>
    </row>
    <row r="50" spans="2:5" ht="13.25" customHeight="1">
      <c r="B50" s="203">
        <v>41067</v>
      </c>
      <c r="C50" s="202">
        <v>2.248475</v>
      </c>
      <c r="D50" s="202">
        <v>2.2591199999999998</v>
      </c>
      <c r="E50" s="3"/>
    </row>
    <row r="51" spans="2:5" ht="13.25" customHeight="1">
      <c r="B51" s="203">
        <v>41068</v>
      </c>
      <c r="C51" s="202">
        <v>2.2419509999999998</v>
      </c>
      <c r="D51" s="202">
        <v>1.905842</v>
      </c>
      <c r="E51" s="3"/>
    </row>
    <row r="52" spans="2:5" ht="13.25" customHeight="1">
      <c r="B52" s="203">
        <v>41071</v>
      </c>
      <c r="C52" s="202">
        <v>2.2310789999999998</v>
      </c>
      <c r="D52" s="202">
        <v>1.989322</v>
      </c>
      <c r="E52" s="3"/>
    </row>
    <row r="53" spans="2:5" ht="13.25" customHeight="1">
      <c r="B53" s="203">
        <v>41072</v>
      </c>
      <c r="C53" s="202">
        <v>2.228904</v>
      </c>
      <c r="D53" s="202">
        <v>1.823634</v>
      </c>
      <c r="E53" s="3"/>
    </row>
    <row r="54" spans="2:5" ht="13.25" customHeight="1">
      <c r="B54" s="203">
        <v>41073</v>
      </c>
      <c r="C54" s="202">
        <v>2.2463000000000002</v>
      </c>
      <c r="D54" s="202">
        <v>1.6808399999999999</v>
      </c>
      <c r="E54" s="3"/>
    </row>
    <row r="55" spans="2:5" ht="13.25" customHeight="1">
      <c r="B55" s="203">
        <v>41074</v>
      </c>
      <c r="C55" s="202">
        <v>2.2789190000000001</v>
      </c>
      <c r="D55" s="202">
        <v>2.2025600000000001</v>
      </c>
      <c r="E55" s="3"/>
    </row>
    <row r="56" spans="2:5" ht="13.25" customHeight="1">
      <c r="B56" s="203">
        <v>41075</v>
      </c>
      <c r="C56" s="202">
        <v>2.2897910000000001</v>
      </c>
      <c r="D56" s="202">
        <v>4.1408240000000003</v>
      </c>
      <c r="E56" s="3"/>
    </row>
    <row r="57" spans="2:5" ht="13.25" customHeight="1">
      <c r="B57" s="203">
        <v>41078</v>
      </c>
      <c r="C57" s="202">
        <v>2.2919649999999998</v>
      </c>
      <c r="D57" s="202">
        <v>1.642954</v>
      </c>
      <c r="E57" s="3"/>
    </row>
    <row r="58" spans="2:5" ht="13.25" customHeight="1">
      <c r="B58" s="203">
        <v>41079</v>
      </c>
      <c r="C58" s="202">
        <v>2.2963149999999999</v>
      </c>
      <c r="D58" s="202">
        <v>2.3927800000000001</v>
      </c>
      <c r="E58" s="3"/>
    </row>
    <row r="59" spans="2:5" ht="13.25" customHeight="1">
      <c r="B59" s="203">
        <v>41080</v>
      </c>
      <c r="C59" s="202">
        <v>2.3245840000000002</v>
      </c>
      <c r="D59" s="202">
        <v>1.8147979999999999</v>
      </c>
      <c r="E59" s="3"/>
    </row>
    <row r="60" spans="2:5" ht="13.25" customHeight="1">
      <c r="B60" s="203">
        <v>41081</v>
      </c>
      <c r="C60" s="202">
        <v>2.3332820000000001</v>
      </c>
      <c r="D60" s="202">
        <v>1.7975559999999999</v>
      </c>
      <c r="E60" s="3"/>
    </row>
    <row r="61" spans="2:5" ht="13.25" customHeight="1">
      <c r="B61" s="203">
        <v>41082</v>
      </c>
      <c r="C61" s="202">
        <v>2.3354569999999999</v>
      </c>
      <c r="D61" s="202">
        <v>1.7587299999999999</v>
      </c>
      <c r="E61" s="3"/>
    </row>
    <row r="62" spans="2:5" ht="13.25" customHeight="1">
      <c r="B62" s="203">
        <v>41085</v>
      </c>
      <c r="C62" s="202">
        <v>2.311537</v>
      </c>
      <c r="D62" s="202">
        <v>2.8455460000000001</v>
      </c>
      <c r="E62" s="3"/>
    </row>
    <row r="63" spans="2:5" ht="13.25" customHeight="1">
      <c r="B63" s="203">
        <v>41086</v>
      </c>
      <c r="C63" s="202">
        <v>2.268046</v>
      </c>
      <c r="D63" s="202">
        <v>2.1216059999999999</v>
      </c>
      <c r="E63" s="3"/>
    </row>
    <row r="64" spans="2:5" ht="13.25" customHeight="1">
      <c r="B64" s="203">
        <v>41087</v>
      </c>
      <c r="C64" s="202">
        <v>2.3202349999999998</v>
      </c>
      <c r="D64" s="202">
        <v>2.410094</v>
      </c>
      <c r="E64" s="3"/>
    </row>
    <row r="65" spans="2:5" ht="13.25" customHeight="1">
      <c r="B65" s="203">
        <v>41088</v>
      </c>
      <c r="C65" s="202">
        <v>2.3137110000000001</v>
      </c>
      <c r="D65" s="202">
        <v>1.5407059999999999</v>
      </c>
      <c r="E65" s="3"/>
    </row>
    <row r="66" spans="2:5" ht="13.25" customHeight="1">
      <c r="B66" s="203">
        <v>41089</v>
      </c>
      <c r="C66" s="202">
        <v>2.3876460000000002</v>
      </c>
      <c r="D66" s="202">
        <v>2.1381519999999998</v>
      </c>
      <c r="E66" s="3"/>
    </row>
    <row r="67" spans="2:5" ht="13.25" customHeight="1">
      <c r="B67" s="203">
        <v>41092</v>
      </c>
      <c r="C67" s="202">
        <v>2.4246129999999999</v>
      </c>
      <c r="D67" s="202">
        <v>2.0072519999999998</v>
      </c>
      <c r="E67" s="3"/>
    </row>
    <row r="68" spans="2:5" ht="13.25" customHeight="1">
      <c r="B68" s="203">
        <v>41093</v>
      </c>
      <c r="C68" s="202">
        <v>2.3919950000000001</v>
      </c>
      <c r="D68" s="202">
        <v>2.3590260000000001</v>
      </c>
      <c r="E68" s="3"/>
    </row>
    <row r="69" spans="2:5" ht="13.25" customHeight="1">
      <c r="B69" s="203">
        <v>41094</v>
      </c>
      <c r="C69" s="202">
        <v>2.3919950000000001</v>
      </c>
      <c r="D69" s="202">
        <v>1.07647</v>
      </c>
      <c r="E69" s="3"/>
    </row>
    <row r="70" spans="2:5" ht="13.25" customHeight="1">
      <c r="B70" s="203">
        <v>41095</v>
      </c>
      <c r="C70" s="202">
        <v>2.3898199999999998</v>
      </c>
      <c r="D70" s="202">
        <v>1.645508</v>
      </c>
      <c r="E70" s="3"/>
    </row>
    <row r="71" spans="2:5" ht="13.25" customHeight="1">
      <c r="B71" s="203">
        <v>41096</v>
      </c>
      <c r="C71" s="202">
        <v>2.3702489999999998</v>
      </c>
      <c r="D71" s="202">
        <v>0.95999199999999996</v>
      </c>
      <c r="E71" s="3"/>
    </row>
    <row r="72" spans="2:5" ht="13.25" customHeight="1">
      <c r="B72" s="203">
        <v>41099</v>
      </c>
      <c r="C72" s="202">
        <v>2.3724240000000001</v>
      </c>
      <c r="D72" s="202">
        <v>0.82400399999999996</v>
      </c>
      <c r="E72" s="3"/>
    </row>
    <row r="73" spans="2:5" ht="13.25" customHeight="1">
      <c r="B73" s="203">
        <v>41100</v>
      </c>
      <c r="C73" s="202">
        <v>2.4028670000000001</v>
      </c>
      <c r="D73" s="202">
        <v>0.98077199999999998</v>
      </c>
      <c r="E73" s="3"/>
    </row>
    <row r="74" spans="2:5" ht="13.25" customHeight="1">
      <c r="B74" s="203">
        <v>41101</v>
      </c>
      <c r="C74" s="202">
        <v>2.3941690000000002</v>
      </c>
      <c r="D74" s="202">
        <v>0.96082000000000001</v>
      </c>
      <c r="E74" s="3"/>
    </row>
    <row r="75" spans="2:5" ht="13.25" customHeight="1">
      <c r="B75" s="203">
        <v>41102</v>
      </c>
      <c r="C75" s="202">
        <v>2.3528530000000001</v>
      </c>
      <c r="D75" s="202">
        <v>1.337232</v>
      </c>
      <c r="E75" s="3"/>
    </row>
    <row r="76" spans="2:5" ht="13.25" customHeight="1">
      <c r="B76" s="203">
        <v>41103</v>
      </c>
      <c r="C76" s="202">
        <v>2.381122</v>
      </c>
      <c r="D76" s="202">
        <v>0.90991599999999995</v>
      </c>
      <c r="E76" s="3"/>
    </row>
    <row r="77" spans="2:5" ht="13.25" customHeight="1">
      <c r="B77" s="203">
        <v>41106</v>
      </c>
      <c r="C77" s="202">
        <v>2.4180899999999999</v>
      </c>
      <c r="D77" s="202">
        <v>1.71177</v>
      </c>
      <c r="E77" s="3"/>
    </row>
    <row r="78" spans="2:5" ht="13.25" customHeight="1">
      <c r="B78" s="203">
        <v>41107</v>
      </c>
      <c r="C78" s="202">
        <v>2.3789470000000001</v>
      </c>
      <c r="D78" s="202">
        <v>2.04467</v>
      </c>
      <c r="E78" s="3"/>
    </row>
    <row r="79" spans="2:5" ht="13.25" customHeight="1">
      <c r="B79" s="203">
        <v>41108</v>
      </c>
      <c r="C79" s="202">
        <v>2.3398059999999998</v>
      </c>
      <c r="D79" s="202">
        <v>3.2234240000000001</v>
      </c>
      <c r="E79" s="3"/>
    </row>
    <row r="80" spans="2:5" ht="13.25" customHeight="1">
      <c r="B80" s="203">
        <v>41109</v>
      </c>
      <c r="C80" s="202">
        <v>2.3658999999999999</v>
      </c>
      <c r="D80" s="202">
        <v>1.2852319999999999</v>
      </c>
      <c r="E80" s="3"/>
    </row>
    <row r="81" spans="2:5" ht="13.25" customHeight="1">
      <c r="B81" s="203">
        <v>41110</v>
      </c>
      <c r="C81" s="202">
        <v>2.3332820000000001</v>
      </c>
      <c r="D81" s="202">
        <v>7.7351799999999997</v>
      </c>
      <c r="E81" s="3"/>
    </row>
    <row r="82" spans="2:5" ht="13.25" customHeight="1">
      <c r="B82" s="203">
        <v>41113</v>
      </c>
      <c r="C82" s="202">
        <v>2.3093620000000001</v>
      </c>
      <c r="D82" s="202">
        <v>2.3001260000000001</v>
      </c>
      <c r="E82" s="3"/>
    </row>
    <row r="83" spans="2:5" ht="13.25" customHeight="1">
      <c r="B83" s="203">
        <v>41114</v>
      </c>
      <c r="C83" s="202">
        <v>2.307188</v>
      </c>
      <c r="D83" s="202">
        <v>1.4903500000000001</v>
      </c>
      <c r="E83" s="3"/>
    </row>
    <row r="84" spans="2:5" ht="13.25" customHeight="1">
      <c r="B84" s="203">
        <v>41115</v>
      </c>
      <c r="C84" s="202">
        <v>2.326759</v>
      </c>
      <c r="D84" s="202">
        <v>1.889106</v>
      </c>
      <c r="E84" s="3"/>
    </row>
    <row r="85" spans="2:5" ht="13.25" customHeight="1">
      <c r="B85" s="203">
        <v>41116</v>
      </c>
      <c r="C85" s="202">
        <v>2.400693</v>
      </c>
      <c r="D85" s="202">
        <v>1.9621459999999999</v>
      </c>
      <c r="E85" s="3"/>
    </row>
    <row r="86" spans="2:5" ht="13.25" customHeight="1">
      <c r="B86" s="203">
        <v>41117</v>
      </c>
      <c r="C86" s="202">
        <v>2.407216</v>
      </c>
      <c r="D86" s="202">
        <v>1.46312</v>
      </c>
      <c r="E86" s="3"/>
    </row>
    <row r="87" spans="2:5" ht="13.25" customHeight="1">
      <c r="B87" s="203">
        <v>41120</v>
      </c>
      <c r="C87" s="202">
        <v>2.439835</v>
      </c>
      <c r="D87" s="202">
        <v>1.5924720000000001</v>
      </c>
      <c r="E87" s="3"/>
    </row>
    <row r="88" spans="2:5" ht="13.25" customHeight="1">
      <c r="B88" s="203">
        <v>41121</v>
      </c>
      <c r="C88" s="202">
        <v>2.439835</v>
      </c>
      <c r="D88" s="202">
        <v>1.713838</v>
      </c>
      <c r="E88" s="3"/>
    </row>
    <row r="89" spans="2:5" ht="13.25" customHeight="1">
      <c r="B89" s="203">
        <v>41122</v>
      </c>
      <c r="C89" s="202">
        <v>2.446358</v>
      </c>
      <c r="D89" s="202">
        <v>1.143032</v>
      </c>
      <c r="E89" s="3"/>
    </row>
    <row r="90" spans="2:5" ht="13.25" customHeight="1">
      <c r="B90" s="203">
        <v>41123</v>
      </c>
      <c r="C90" s="202">
        <v>2.396344</v>
      </c>
      <c r="D90" s="202">
        <v>2.410088</v>
      </c>
      <c r="E90" s="3"/>
    </row>
    <row r="91" spans="2:5" ht="13.25" customHeight="1">
      <c r="B91" s="203">
        <v>41124</v>
      </c>
      <c r="C91" s="202">
        <v>2.4681039999999999</v>
      </c>
      <c r="D91" s="202">
        <v>2.3026520000000001</v>
      </c>
      <c r="E91" s="3"/>
    </row>
    <row r="92" spans="2:5" ht="13.25" customHeight="1">
      <c r="B92" s="203">
        <v>41127</v>
      </c>
      <c r="C92" s="202">
        <v>2.4746269999999999</v>
      </c>
      <c r="D92" s="202">
        <v>2.1804260000000002</v>
      </c>
      <c r="E92" s="3"/>
    </row>
    <row r="93" spans="2:5" ht="13.25" customHeight="1">
      <c r="B93" s="203">
        <v>41128</v>
      </c>
      <c r="C93" s="202">
        <v>2.4333109999999998</v>
      </c>
      <c r="D93" s="202">
        <v>3.6418539999999999</v>
      </c>
      <c r="E93" s="3"/>
    </row>
    <row r="94" spans="2:5" ht="13.25" customHeight="1">
      <c r="B94" s="203">
        <v>41129</v>
      </c>
      <c r="C94" s="202">
        <v>2.4180899999999999</v>
      </c>
      <c r="D94" s="202">
        <v>2.0138419999999999</v>
      </c>
      <c r="E94" s="3"/>
    </row>
    <row r="95" spans="2:5" ht="13.25" customHeight="1">
      <c r="B95" s="203">
        <v>41130</v>
      </c>
      <c r="C95" s="202">
        <v>2.400693</v>
      </c>
      <c r="D95" s="202">
        <v>2.0455779999999999</v>
      </c>
      <c r="E95" s="3"/>
    </row>
    <row r="96" spans="2:5" ht="13.25" customHeight="1">
      <c r="B96" s="203">
        <v>41131</v>
      </c>
      <c r="C96" s="202">
        <v>2.3854709999999999</v>
      </c>
      <c r="D96" s="202">
        <v>1.54443</v>
      </c>
      <c r="E96" s="3"/>
    </row>
    <row r="97" spans="2:5" ht="13.25" customHeight="1">
      <c r="B97" s="203">
        <v>41134</v>
      </c>
      <c r="C97" s="202">
        <v>2.3832960000000001</v>
      </c>
      <c r="D97" s="202">
        <v>1.2907420000000001</v>
      </c>
      <c r="E97" s="3"/>
    </row>
    <row r="98" spans="2:5" ht="13.25" customHeight="1">
      <c r="B98" s="203">
        <v>41135</v>
      </c>
      <c r="C98" s="202">
        <v>2.381122</v>
      </c>
      <c r="D98" s="202">
        <v>0.713314</v>
      </c>
      <c r="E98" s="3"/>
    </row>
    <row r="99" spans="2:5" ht="13.25" customHeight="1">
      <c r="B99" s="203">
        <v>41137</v>
      </c>
      <c r="C99" s="202">
        <v>2.376773</v>
      </c>
      <c r="D99" s="202">
        <v>1.6216520000000001</v>
      </c>
      <c r="E99" s="3"/>
    </row>
    <row r="100" spans="2:5" ht="13.25" customHeight="1">
      <c r="B100" s="203">
        <v>41138</v>
      </c>
      <c r="C100" s="202">
        <v>2.361551</v>
      </c>
      <c r="D100" s="202">
        <v>2.2305359999999999</v>
      </c>
      <c r="E100" s="3"/>
    </row>
    <row r="101" spans="2:5" ht="13.25" customHeight="1">
      <c r="B101" s="203">
        <v>41141</v>
      </c>
      <c r="C101" s="202">
        <v>2.3528530000000001</v>
      </c>
      <c r="D101" s="202">
        <v>1.3893580000000001</v>
      </c>
      <c r="E101" s="3"/>
    </row>
    <row r="102" spans="2:5" ht="13.25" customHeight="1">
      <c r="B102" s="203">
        <v>41142</v>
      </c>
      <c r="C102" s="202">
        <v>2.396344</v>
      </c>
      <c r="D102" s="202">
        <v>2.694242</v>
      </c>
      <c r="E102" s="3"/>
    </row>
    <row r="103" spans="2:5" ht="13.25" customHeight="1">
      <c r="B103" s="203">
        <v>41143</v>
      </c>
      <c r="C103" s="202">
        <v>2.3702489999999998</v>
      </c>
      <c r="D103" s="202">
        <v>3.637216</v>
      </c>
      <c r="E103" s="3"/>
    </row>
    <row r="104" spans="2:5" ht="13.25" customHeight="1">
      <c r="B104" s="203">
        <v>41144</v>
      </c>
      <c r="C104" s="202">
        <v>2.3637260000000002</v>
      </c>
      <c r="D104" s="202">
        <v>1.280254</v>
      </c>
      <c r="E104" s="3"/>
    </row>
    <row r="105" spans="2:5" ht="13.25" customHeight="1">
      <c r="B105" s="203">
        <v>41145</v>
      </c>
      <c r="C105" s="202">
        <v>2.3789470000000001</v>
      </c>
      <c r="D105" s="202">
        <v>0.739012</v>
      </c>
      <c r="E105" s="3"/>
    </row>
    <row r="106" spans="2:5" ht="13.25" customHeight="1">
      <c r="B106" s="203">
        <v>41148</v>
      </c>
      <c r="C106" s="202">
        <v>2.3441550000000002</v>
      </c>
      <c r="D106" s="202">
        <v>1.9783280000000001</v>
      </c>
      <c r="E106" s="3"/>
    </row>
    <row r="107" spans="2:5" ht="13.25" customHeight="1">
      <c r="B107" s="203">
        <v>41149</v>
      </c>
      <c r="C107" s="202">
        <v>2.3637260000000002</v>
      </c>
      <c r="D107" s="202">
        <v>1.779366</v>
      </c>
      <c r="E107" s="3"/>
    </row>
    <row r="108" spans="2:5" ht="13.25" customHeight="1">
      <c r="B108" s="203">
        <v>41150</v>
      </c>
      <c r="C108" s="202">
        <v>2.3680750000000002</v>
      </c>
      <c r="D108" s="202">
        <v>1.4686140000000001</v>
      </c>
      <c r="E108" s="3"/>
    </row>
    <row r="109" spans="2:5" ht="13.25" customHeight="1">
      <c r="B109" s="203">
        <v>41151</v>
      </c>
      <c r="C109" s="202">
        <v>2.3593769999999998</v>
      </c>
      <c r="D109" s="202">
        <v>1.373378</v>
      </c>
      <c r="E109" s="3"/>
    </row>
    <row r="110" spans="2:5" ht="13.25" customHeight="1">
      <c r="B110" s="203">
        <v>41152</v>
      </c>
      <c r="C110" s="202">
        <v>2.376773</v>
      </c>
      <c r="D110" s="202">
        <v>1.5091000000000001</v>
      </c>
      <c r="E110" s="3"/>
    </row>
    <row r="111" spans="2:5" ht="13.25" customHeight="1">
      <c r="B111" s="203">
        <v>41155</v>
      </c>
      <c r="C111" s="202">
        <v>2.5659580000000002</v>
      </c>
      <c r="D111" s="202">
        <v>12.030989999999999</v>
      </c>
      <c r="E111" s="3"/>
    </row>
    <row r="112" spans="2:5" ht="13.25" customHeight="1">
      <c r="B112" s="203">
        <v>41156</v>
      </c>
      <c r="C112" s="202">
        <v>2.5920529999999999</v>
      </c>
      <c r="D112" s="202">
        <v>6.094506</v>
      </c>
      <c r="E112" s="3"/>
    </row>
    <row r="113" spans="2:5" ht="13.25" customHeight="1">
      <c r="B113" s="203">
        <v>41157</v>
      </c>
      <c r="C113" s="202">
        <v>2.5768309999999999</v>
      </c>
      <c r="D113" s="202">
        <v>2.700882</v>
      </c>
      <c r="E113" s="3"/>
    </row>
    <row r="114" spans="2:5" ht="13.25" customHeight="1">
      <c r="B114" s="203">
        <v>41158</v>
      </c>
      <c r="C114" s="202">
        <v>2.6398929999999998</v>
      </c>
      <c r="D114" s="202">
        <v>2.8176420000000002</v>
      </c>
      <c r="E114" s="3"/>
    </row>
    <row r="115" spans="2:5" ht="13.25" customHeight="1">
      <c r="B115" s="203">
        <v>41159</v>
      </c>
      <c r="C115" s="202">
        <v>2.5855290000000002</v>
      </c>
      <c r="D115" s="202">
        <v>2.6257359999999998</v>
      </c>
      <c r="E115" s="3"/>
    </row>
    <row r="116" spans="2:5" ht="13.25" customHeight="1">
      <c r="B116" s="203">
        <v>41162</v>
      </c>
      <c r="C116" s="202">
        <v>2.5724819999999999</v>
      </c>
      <c r="D116" s="202">
        <v>1.7703260000000001</v>
      </c>
      <c r="E116" s="3"/>
    </row>
    <row r="117" spans="2:5" ht="13.25" customHeight="1">
      <c r="B117" s="203">
        <v>41163</v>
      </c>
      <c r="C117" s="202">
        <v>2.5855290000000002</v>
      </c>
      <c r="D117" s="202">
        <v>1.996448</v>
      </c>
      <c r="E117" s="3"/>
    </row>
    <row r="118" spans="2:5" ht="13.25" customHeight="1">
      <c r="B118" s="203">
        <v>41164</v>
      </c>
      <c r="C118" s="202">
        <v>2.5877029999999999</v>
      </c>
      <c r="D118" s="202">
        <v>3.1329760000000002</v>
      </c>
      <c r="E118" s="3"/>
    </row>
    <row r="119" spans="2:5" ht="13.25" customHeight="1">
      <c r="B119" s="203">
        <v>41165</v>
      </c>
      <c r="C119" s="202">
        <v>2.6137980000000001</v>
      </c>
      <c r="D119" s="202">
        <v>2.153918</v>
      </c>
      <c r="E119" s="3"/>
    </row>
    <row r="120" spans="2:5" ht="13.25" customHeight="1">
      <c r="B120" s="203">
        <v>41166</v>
      </c>
      <c r="C120" s="202">
        <v>2.6529400000000001</v>
      </c>
      <c r="D120" s="202">
        <v>10.907439999999999</v>
      </c>
      <c r="E120" s="3"/>
    </row>
    <row r="121" spans="2:5" ht="13.25" customHeight="1">
      <c r="B121" s="203">
        <v>41169</v>
      </c>
      <c r="C121" s="202">
        <v>2.6094490000000001</v>
      </c>
      <c r="D121" s="202">
        <v>4.3051500000000003</v>
      </c>
      <c r="E121" s="3"/>
    </row>
    <row r="122" spans="2:5" ht="13.25" customHeight="1">
      <c r="B122" s="203">
        <v>41170</v>
      </c>
      <c r="C122" s="202">
        <v>2.6507649999999998</v>
      </c>
      <c r="D122" s="202">
        <v>1.9186799999999999</v>
      </c>
      <c r="E122" s="3"/>
    </row>
    <row r="123" spans="2:5" ht="13.25" customHeight="1">
      <c r="B123" s="203">
        <v>41171</v>
      </c>
      <c r="C123" s="202">
        <v>2.6594630000000001</v>
      </c>
      <c r="D123" s="202">
        <v>2.4654699999999998</v>
      </c>
      <c r="E123" s="3"/>
    </row>
    <row r="124" spans="2:5" ht="13.25" customHeight="1">
      <c r="B124" s="203">
        <v>41172</v>
      </c>
      <c r="C124" s="202">
        <v>2.637718</v>
      </c>
      <c r="D124" s="202">
        <v>1.872492</v>
      </c>
      <c r="E124" s="3"/>
    </row>
    <row r="125" spans="2:5" ht="13.25" customHeight="1">
      <c r="B125" s="203">
        <v>41173</v>
      </c>
      <c r="C125" s="202">
        <v>2.6420669999999999</v>
      </c>
      <c r="D125" s="202">
        <v>1.2068160000000001</v>
      </c>
      <c r="E125" s="3"/>
    </row>
    <row r="126" spans="2:5" ht="13.25" customHeight="1">
      <c r="B126" s="203">
        <v>41176</v>
      </c>
      <c r="C126" s="202">
        <v>2.6420669999999999</v>
      </c>
      <c r="D126" s="202">
        <v>2.9837660000000001</v>
      </c>
      <c r="E126" s="3"/>
    </row>
    <row r="127" spans="2:5" ht="13.25" customHeight="1">
      <c r="B127" s="203">
        <v>41177</v>
      </c>
      <c r="C127" s="202">
        <v>2.6746850000000002</v>
      </c>
      <c r="D127" s="202">
        <v>1.38473</v>
      </c>
      <c r="E127" s="3"/>
    </row>
    <row r="128" spans="2:5" ht="13.25" customHeight="1">
      <c r="B128" s="203">
        <v>41178</v>
      </c>
      <c r="C128" s="202">
        <v>2.6333690000000001</v>
      </c>
      <c r="D128" s="202">
        <v>1.3353159999999999</v>
      </c>
      <c r="E128" s="3"/>
    </row>
    <row r="129" spans="2:5" ht="13.25" customHeight="1">
      <c r="B129" s="203">
        <v>41179</v>
      </c>
      <c r="C129" s="202">
        <v>2.7225250000000001</v>
      </c>
      <c r="D129" s="202">
        <v>5.2524600000000001</v>
      </c>
      <c r="E129" s="3"/>
    </row>
    <row r="130" spans="2:5" ht="13.25" customHeight="1">
      <c r="B130" s="203">
        <v>41180</v>
      </c>
      <c r="C130" s="202">
        <v>2.6616379999999999</v>
      </c>
      <c r="D130" s="202">
        <v>2.596654</v>
      </c>
      <c r="E130" s="3"/>
    </row>
    <row r="131" spans="2:5" ht="13.25" customHeight="1">
      <c r="B131" s="203">
        <v>41183</v>
      </c>
      <c r="C131" s="202">
        <v>2.6986050000000001</v>
      </c>
      <c r="D131" s="202">
        <v>2.47695</v>
      </c>
      <c r="E131" s="3"/>
    </row>
    <row r="132" spans="2:5" ht="13.25" customHeight="1">
      <c r="B132" s="203">
        <v>41184</v>
      </c>
      <c r="C132" s="202">
        <v>2.707303</v>
      </c>
      <c r="D132" s="202">
        <v>2.2665660000000001</v>
      </c>
      <c r="E132" s="3"/>
    </row>
    <row r="133" spans="2:5" ht="13.25" customHeight="1">
      <c r="B133" s="203">
        <v>41185</v>
      </c>
      <c r="C133" s="202">
        <v>2.7094779999999998</v>
      </c>
      <c r="D133" s="202">
        <v>1.042278</v>
      </c>
      <c r="E133" s="3"/>
    </row>
    <row r="134" spans="2:5" ht="13.25" customHeight="1">
      <c r="B134" s="203">
        <v>41186</v>
      </c>
      <c r="C134" s="202">
        <v>2.7160009999999999</v>
      </c>
      <c r="D134" s="202">
        <v>1.073048</v>
      </c>
      <c r="E134" s="3"/>
    </row>
    <row r="135" spans="2:5" ht="13.25" customHeight="1">
      <c r="B135" s="203">
        <v>41187</v>
      </c>
      <c r="C135" s="202">
        <v>2.7486199999999998</v>
      </c>
      <c r="D135" s="202">
        <v>1.816856</v>
      </c>
      <c r="E135" s="3"/>
    </row>
    <row r="136" spans="2:5" ht="13.25" customHeight="1">
      <c r="B136" s="203">
        <v>41190</v>
      </c>
      <c r="C136" s="202">
        <v>2.7290489999999998</v>
      </c>
      <c r="D136" s="202">
        <v>1.103348</v>
      </c>
      <c r="E136" s="3"/>
    </row>
    <row r="137" spans="2:5" ht="13.25" customHeight="1">
      <c r="B137" s="203">
        <v>41191</v>
      </c>
      <c r="C137" s="202">
        <v>2.726874</v>
      </c>
      <c r="D137" s="202">
        <v>0.88128200000000001</v>
      </c>
      <c r="E137" s="3"/>
    </row>
    <row r="138" spans="2:5" ht="13.25" customHeight="1">
      <c r="B138" s="203">
        <v>41192</v>
      </c>
      <c r="C138" s="202">
        <v>2.7355719999999999</v>
      </c>
      <c r="D138" s="202">
        <v>1.448442</v>
      </c>
      <c r="E138" s="3"/>
    </row>
    <row r="139" spans="2:5" ht="13.25" customHeight="1">
      <c r="B139" s="203">
        <v>41193</v>
      </c>
      <c r="C139" s="202">
        <v>2.7594919999999998</v>
      </c>
      <c r="D139" s="202">
        <v>2.2275100000000001</v>
      </c>
      <c r="E139" s="3"/>
    </row>
    <row r="140" spans="2:5" ht="13.25" customHeight="1">
      <c r="B140" s="203">
        <v>41194</v>
      </c>
      <c r="C140" s="202">
        <v>2.7573180000000002</v>
      </c>
      <c r="D140" s="202">
        <v>1.5157560000000001</v>
      </c>
      <c r="E140" s="3"/>
    </row>
    <row r="141" spans="2:5" ht="13.25" customHeight="1">
      <c r="B141" s="203">
        <v>41197</v>
      </c>
      <c r="C141" s="202">
        <v>2.7942849999999999</v>
      </c>
      <c r="D141" s="202">
        <v>2.9553780000000001</v>
      </c>
      <c r="E141" s="3"/>
    </row>
    <row r="142" spans="2:5" ht="13.25" customHeight="1">
      <c r="B142" s="203">
        <v>41198</v>
      </c>
      <c r="C142" s="202">
        <v>2.809507</v>
      </c>
      <c r="D142" s="202">
        <v>2.1031599999999999</v>
      </c>
      <c r="E142" s="3"/>
    </row>
    <row r="143" spans="2:5" ht="13.25" customHeight="1">
      <c r="B143" s="203">
        <v>41199</v>
      </c>
      <c r="C143" s="202">
        <v>2.8247279999999999</v>
      </c>
      <c r="D143" s="202">
        <v>2.1140099999999999</v>
      </c>
      <c r="E143" s="3"/>
    </row>
    <row r="144" spans="2:5" ht="13.25" customHeight="1">
      <c r="B144" s="203">
        <v>41200</v>
      </c>
      <c r="C144" s="202">
        <v>2.7399209999999998</v>
      </c>
      <c r="D144" s="202">
        <v>4.9682240000000002</v>
      </c>
      <c r="E144" s="3"/>
    </row>
    <row r="145" spans="2:5" ht="13.25" customHeight="1">
      <c r="B145" s="203">
        <v>41201</v>
      </c>
      <c r="C145" s="202">
        <v>2.7790629999999998</v>
      </c>
      <c r="D145" s="202">
        <v>3.3876140000000001</v>
      </c>
      <c r="E145" s="3"/>
    </row>
    <row r="146" spans="2:5" ht="13.25" customHeight="1">
      <c r="B146" s="203">
        <v>41204</v>
      </c>
      <c r="C146" s="202">
        <v>2.8029829999999998</v>
      </c>
      <c r="D146" s="202">
        <v>3.444464</v>
      </c>
      <c r="E146" s="3"/>
    </row>
    <row r="147" spans="2:5" ht="13.25" customHeight="1">
      <c r="B147" s="203">
        <v>41205</v>
      </c>
      <c r="C147" s="202">
        <v>2.7246990000000002</v>
      </c>
      <c r="D147" s="202">
        <v>2.3581660000000002</v>
      </c>
      <c r="E147" s="3"/>
    </row>
    <row r="148" spans="2:5" ht="13.25" customHeight="1">
      <c r="B148" s="203">
        <v>41206</v>
      </c>
      <c r="C148" s="202">
        <v>2.770365</v>
      </c>
      <c r="D148" s="202">
        <v>1.4843759999999999</v>
      </c>
      <c r="E148" s="3"/>
    </row>
    <row r="149" spans="2:5" ht="13.25" customHeight="1">
      <c r="B149" s="203">
        <v>41207</v>
      </c>
      <c r="C149" s="202">
        <v>2.796459</v>
      </c>
      <c r="D149" s="202">
        <v>2.852112</v>
      </c>
      <c r="E149" s="3"/>
    </row>
    <row r="150" spans="2:5" ht="13.25" customHeight="1">
      <c r="B150" s="203">
        <v>41208</v>
      </c>
      <c r="C150" s="202">
        <v>2.789936</v>
      </c>
      <c r="D150" s="202">
        <v>5.1493159999999998</v>
      </c>
      <c r="E150" s="3"/>
    </row>
    <row r="151" spans="2:5" ht="13.25" customHeight="1">
      <c r="B151" s="203">
        <v>41211</v>
      </c>
      <c r="C151" s="202">
        <v>2.7051289999999999</v>
      </c>
      <c r="D151" s="202">
        <v>5.7354960000000004</v>
      </c>
      <c r="E151" s="3"/>
    </row>
    <row r="152" spans="2:5" ht="13.25" customHeight="1">
      <c r="B152" s="203">
        <v>41212</v>
      </c>
      <c r="C152" s="202">
        <v>2.7181760000000001</v>
      </c>
      <c r="D152" s="202">
        <v>1.850014</v>
      </c>
      <c r="E152" s="3"/>
    </row>
    <row r="153" spans="2:5" ht="13.25" customHeight="1">
      <c r="B153" s="203">
        <v>41213</v>
      </c>
      <c r="C153" s="202">
        <v>2.7225250000000001</v>
      </c>
      <c r="D153" s="202">
        <v>1.793674</v>
      </c>
      <c r="E153" s="3"/>
    </row>
    <row r="154" spans="2:5" ht="13.25" customHeight="1">
      <c r="B154" s="203">
        <v>41214</v>
      </c>
      <c r="C154" s="202">
        <v>2.7420960000000001</v>
      </c>
      <c r="D154" s="202">
        <v>1.709654</v>
      </c>
      <c r="E154" s="3"/>
    </row>
    <row r="155" spans="2:5" ht="13.25" customHeight="1">
      <c r="B155" s="203">
        <v>41215</v>
      </c>
      <c r="C155" s="202">
        <v>2.766016</v>
      </c>
      <c r="D155" s="202">
        <v>1.8202320000000001</v>
      </c>
      <c r="E155" s="3"/>
    </row>
    <row r="156" spans="2:5" ht="13.25" customHeight="1">
      <c r="B156" s="203">
        <v>41218</v>
      </c>
      <c r="C156" s="202">
        <v>2.7442700000000002</v>
      </c>
      <c r="D156" s="202">
        <v>1.4352819999999999</v>
      </c>
      <c r="E156" s="3"/>
    </row>
    <row r="157" spans="2:5" ht="13.25" customHeight="1">
      <c r="B157" s="203">
        <v>41219</v>
      </c>
      <c r="C157" s="202">
        <v>2.766016</v>
      </c>
      <c r="D157" s="202">
        <v>1.3531040000000001</v>
      </c>
      <c r="E157" s="3"/>
    </row>
    <row r="158" spans="2:5" ht="13.25" customHeight="1">
      <c r="B158" s="203">
        <v>41220</v>
      </c>
      <c r="C158" s="202">
        <v>2.746445</v>
      </c>
      <c r="D158" s="202">
        <v>1.525358</v>
      </c>
      <c r="E158" s="3"/>
    </row>
    <row r="159" spans="2:5" ht="13.25" customHeight="1">
      <c r="B159" s="203">
        <v>41221</v>
      </c>
      <c r="C159" s="202">
        <v>2.7203499999999998</v>
      </c>
      <c r="D159" s="202">
        <v>2.755592</v>
      </c>
      <c r="E159" s="3"/>
    </row>
    <row r="160" spans="2:5" ht="13.25" customHeight="1">
      <c r="B160" s="203">
        <v>41222</v>
      </c>
      <c r="C160" s="202">
        <v>2.707303</v>
      </c>
      <c r="D160" s="202">
        <v>2.856106</v>
      </c>
      <c r="E160" s="3"/>
    </row>
    <row r="161" spans="2:5" ht="13.25" customHeight="1">
      <c r="B161" s="203">
        <v>41225</v>
      </c>
      <c r="C161" s="202">
        <v>2.548562</v>
      </c>
      <c r="D161" s="202">
        <v>12.530084</v>
      </c>
      <c r="E161" s="3"/>
    </row>
    <row r="162" spans="2:5" ht="13.25" customHeight="1">
      <c r="B162" s="203">
        <v>41226</v>
      </c>
      <c r="C162" s="202">
        <v>2.5550860000000002</v>
      </c>
      <c r="D162" s="202">
        <v>7.8088860000000002</v>
      </c>
      <c r="E162" s="3"/>
    </row>
    <row r="163" spans="2:5" ht="13.25" customHeight="1">
      <c r="B163" s="203">
        <v>41227</v>
      </c>
      <c r="C163" s="202">
        <v>2.4876740000000002</v>
      </c>
      <c r="D163" s="202">
        <v>5.47011</v>
      </c>
      <c r="E163" s="3"/>
    </row>
    <row r="164" spans="2:5" ht="13.25" customHeight="1">
      <c r="B164" s="203">
        <v>41228</v>
      </c>
      <c r="C164" s="202">
        <v>2.381122</v>
      </c>
      <c r="D164" s="202">
        <v>24.192955999999999</v>
      </c>
      <c r="E164" s="3"/>
    </row>
    <row r="165" spans="2:5" ht="13.25" customHeight="1">
      <c r="B165" s="203">
        <v>41229</v>
      </c>
      <c r="C165" s="202">
        <v>2.4050419999999999</v>
      </c>
      <c r="D165" s="202">
        <v>6.1471340000000003</v>
      </c>
      <c r="E165" s="3"/>
    </row>
    <row r="166" spans="2:5" ht="13.25" customHeight="1">
      <c r="B166" s="203">
        <v>41232</v>
      </c>
      <c r="C166" s="202">
        <v>2.426787</v>
      </c>
      <c r="D166" s="202">
        <v>3.2785519999999999</v>
      </c>
      <c r="E166" s="3"/>
    </row>
    <row r="167" spans="2:5" ht="13.25" customHeight="1">
      <c r="B167" s="203">
        <v>41233</v>
      </c>
      <c r="C167" s="202">
        <v>2.4376600000000002</v>
      </c>
      <c r="D167" s="202">
        <v>2.768176</v>
      </c>
      <c r="E167" s="3"/>
    </row>
    <row r="168" spans="2:5" ht="13.25" customHeight="1">
      <c r="B168" s="203">
        <v>41234</v>
      </c>
      <c r="C168" s="202">
        <v>2.4528819999999998</v>
      </c>
      <c r="D168" s="202">
        <v>2.6005560000000001</v>
      </c>
      <c r="E168" s="3"/>
    </row>
    <row r="169" spans="2:5" ht="13.25" customHeight="1">
      <c r="B169" s="203">
        <v>41235</v>
      </c>
      <c r="C169" s="202">
        <v>2.4746269999999999</v>
      </c>
      <c r="D169" s="202">
        <v>2.4034900000000001</v>
      </c>
      <c r="E169" s="3"/>
    </row>
    <row r="170" spans="2:5" ht="13.25" customHeight="1">
      <c r="B170" s="203">
        <v>41236</v>
      </c>
      <c r="C170" s="202">
        <v>2.4920239999999998</v>
      </c>
      <c r="D170" s="202">
        <v>1.507344</v>
      </c>
      <c r="E170" s="3"/>
    </row>
    <row r="171" spans="2:5" ht="13.25" customHeight="1">
      <c r="B171" s="203">
        <v>41239</v>
      </c>
      <c r="C171" s="202">
        <v>2.4637549999999999</v>
      </c>
      <c r="D171" s="202">
        <v>1.794292</v>
      </c>
      <c r="E171" s="3"/>
    </row>
    <row r="172" spans="2:5" ht="13.25" customHeight="1">
      <c r="B172" s="203">
        <v>41240</v>
      </c>
      <c r="C172" s="202">
        <v>2.4833249999999998</v>
      </c>
      <c r="D172" s="202">
        <v>1.759798</v>
      </c>
      <c r="E172" s="3"/>
    </row>
    <row r="173" spans="2:5" ht="13.25" customHeight="1">
      <c r="B173" s="203">
        <v>41241</v>
      </c>
      <c r="C173" s="202">
        <v>2.4985469999999999</v>
      </c>
      <c r="D173" s="202">
        <v>2.5025200000000001</v>
      </c>
      <c r="E173" s="3"/>
    </row>
    <row r="174" spans="2:5" ht="13.25" customHeight="1">
      <c r="B174" s="203">
        <v>41242</v>
      </c>
      <c r="C174" s="202">
        <v>2.5268169999999999</v>
      </c>
      <c r="D174" s="202">
        <v>3.073674</v>
      </c>
      <c r="E174" s="3"/>
    </row>
    <row r="175" spans="2:5" ht="13.25" customHeight="1">
      <c r="B175" s="203">
        <v>41243</v>
      </c>
      <c r="C175" s="202">
        <v>2.4985469999999999</v>
      </c>
      <c r="D175" s="202">
        <v>1.8280799999999999</v>
      </c>
      <c r="E175" s="3"/>
    </row>
    <row r="176" spans="2:5" ht="13.25" customHeight="1">
      <c r="B176" s="203">
        <v>41246</v>
      </c>
      <c r="C176" s="202">
        <v>2.489849</v>
      </c>
      <c r="D176" s="202">
        <v>2.2862040000000001</v>
      </c>
      <c r="E176" s="3"/>
    </row>
    <row r="177" spans="2:5" ht="13.25" customHeight="1">
      <c r="B177" s="203">
        <v>41247</v>
      </c>
      <c r="C177" s="202">
        <v>2.4572310000000002</v>
      </c>
      <c r="D177" s="202">
        <v>3.4405559999999999</v>
      </c>
      <c r="E177" s="3"/>
    </row>
    <row r="178" spans="2:5" ht="13.25" customHeight="1">
      <c r="B178" s="203">
        <v>41248</v>
      </c>
      <c r="C178" s="202">
        <v>2.465929</v>
      </c>
      <c r="D178" s="202">
        <v>2.2120519999999999</v>
      </c>
      <c r="E178" s="3"/>
    </row>
    <row r="179" spans="2:5" ht="13.25" customHeight="1">
      <c r="B179" s="203">
        <v>41249</v>
      </c>
      <c r="C179" s="202">
        <v>2.439835</v>
      </c>
      <c r="D179" s="202">
        <v>2.370266</v>
      </c>
      <c r="E179" s="3"/>
    </row>
    <row r="180" spans="2:5" ht="13.25" customHeight="1">
      <c r="B180" s="203">
        <v>41250</v>
      </c>
      <c r="C180" s="202">
        <v>2.4550559999999999</v>
      </c>
      <c r="D180" s="202">
        <v>2.125454</v>
      </c>
      <c r="E180" s="3"/>
    </row>
    <row r="181" spans="2:5" ht="13.25" customHeight="1">
      <c r="B181" s="203">
        <v>41253</v>
      </c>
      <c r="C181" s="202">
        <v>2.4333109999999998</v>
      </c>
      <c r="D181" s="202">
        <v>2.151904</v>
      </c>
      <c r="E181" s="3"/>
    </row>
    <row r="182" spans="2:5" ht="13.25" customHeight="1">
      <c r="B182" s="203">
        <v>41254</v>
      </c>
      <c r="C182" s="202">
        <v>2.450707</v>
      </c>
      <c r="D182" s="202">
        <v>1.7668759999999999</v>
      </c>
      <c r="E182" s="3"/>
    </row>
    <row r="183" spans="2:5" ht="13.25" customHeight="1">
      <c r="B183" s="203">
        <v>41255</v>
      </c>
      <c r="C183" s="202">
        <v>2.4572310000000002</v>
      </c>
      <c r="D183" s="202">
        <v>1.6165339999999999</v>
      </c>
      <c r="E183" s="3"/>
    </row>
    <row r="184" spans="2:5" ht="13.25" customHeight="1">
      <c r="B184" s="203">
        <v>41256</v>
      </c>
      <c r="C184" s="202">
        <v>2.459406</v>
      </c>
      <c r="D184" s="202">
        <v>2.82402</v>
      </c>
      <c r="E184" s="3"/>
    </row>
    <row r="185" spans="2:5" ht="13.25" customHeight="1">
      <c r="B185" s="203">
        <v>41257</v>
      </c>
      <c r="C185" s="202">
        <v>2.4789759999999998</v>
      </c>
      <c r="D185" s="202">
        <v>4.0463100000000001</v>
      </c>
      <c r="E185" s="3"/>
    </row>
    <row r="186" spans="2:5" ht="13.25" customHeight="1">
      <c r="B186" s="203">
        <v>41260</v>
      </c>
      <c r="C186" s="202">
        <v>2.4833249999999998</v>
      </c>
      <c r="D186" s="202">
        <v>3.8805200000000002</v>
      </c>
      <c r="E186" s="3"/>
    </row>
    <row r="187" spans="2:5" ht="13.25" customHeight="1">
      <c r="B187" s="203">
        <v>41261</v>
      </c>
      <c r="C187" s="202">
        <v>2.4985469999999999</v>
      </c>
      <c r="D187" s="202">
        <v>2.0245959999999998</v>
      </c>
      <c r="E187" s="3"/>
    </row>
    <row r="188" spans="2:5" ht="13.25" customHeight="1">
      <c r="B188" s="203">
        <v>41262</v>
      </c>
      <c r="C188" s="202">
        <v>2.5420379999999998</v>
      </c>
      <c r="D188" s="202">
        <v>3.561696</v>
      </c>
      <c r="E188" s="3"/>
    </row>
    <row r="189" spans="2:5" ht="13.25" customHeight="1">
      <c r="B189" s="203">
        <v>41263</v>
      </c>
      <c r="C189" s="202">
        <v>2.5202930000000001</v>
      </c>
      <c r="D189" s="202">
        <v>7.1206019999999999</v>
      </c>
      <c r="E189" s="3"/>
    </row>
    <row r="190" spans="2:5" ht="13.25" customHeight="1">
      <c r="B190" s="203">
        <v>41264</v>
      </c>
      <c r="C190" s="202">
        <v>2.5246420000000001</v>
      </c>
      <c r="D190" s="202">
        <v>3.8907799999999999</v>
      </c>
      <c r="E190" s="3"/>
    </row>
    <row r="191" spans="2:5" ht="13.25" customHeight="1">
      <c r="B191" s="203">
        <v>41270</v>
      </c>
      <c r="C191" s="202">
        <v>2.515943</v>
      </c>
      <c r="D191" s="202">
        <v>4.3785420000000004</v>
      </c>
      <c r="E191" s="3"/>
    </row>
    <row r="192" spans="2:5" ht="13.25" customHeight="1">
      <c r="B192" s="203">
        <v>41271</v>
      </c>
      <c r="C192" s="202">
        <v>2.5224679999999999</v>
      </c>
      <c r="D192" s="202">
        <v>1.2368440000000001</v>
      </c>
      <c r="E192" s="3"/>
    </row>
    <row r="193" spans="2:5" ht="13.25" customHeight="1">
      <c r="B193" s="203">
        <v>41276</v>
      </c>
      <c r="C193" s="202">
        <v>2.5833539999999999</v>
      </c>
      <c r="D193" s="202">
        <v>2.4810460000000001</v>
      </c>
      <c r="E193" s="3"/>
    </row>
    <row r="194" spans="2:5" ht="13.25" customHeight="1">
      <c r="B194" s="203">
        <v>41277</v>
      </c>
      <c r="C194" s="202">
        <v>2.5724819999999999</v>
      </c>
      <c r="D194" s="202">
        <v>1.1475200000000001</v>
      </c>
      <c r="E194" s="3"/>
    </row>
    <row r="195" spans="2:5" ht="13.25" customHeight="1">
      <c r="B195" s="203">
        <v>41278</v>
      </c>
      <c r="C195" s="202">
        <v>2.568133</v>
      </c>
      <c r="D195" s="202">
        <v>1.1526080000000001</v>
      </c>
      <c r="E195" s="3"/>
    </row>
    <row r="196" spans="2:5" ht="13.25" customHeight="1">
      <c r="B196" s="203">
        <v>41281</v>
      </c>
      <c r="C196" s="202">
        <v>2.5703070000000001</v>
      </c>
      <c r="D196" s="202">
        <v>2.3502700000000001</v>
      </c>
      <c r="E196" s="3"/>
    </row>
    <row r="197" spans="2:5" ht="13.25" customHeight="1">
      <c r="B197" s="203">
        <v>41282</v>
      </c>
      <c r="C197" s="202">
        <v>2.5833539999999999</v>
      </c>
      <c r="D197" s="202">
        <v>1.804378</v>
      </c>
      <c r="E197" s="3"/>
    </row>
    <row r="198" spans="2:5" ht="13.25" customHeight="1">
      <c r="B198" s="203">
        <v>41283</v>
      </c>
      <c r="C198" s="202">
        <v>2.5942270000000001</v>
      </c>
      <c r="D198" s="202">
        <v>1.9639599999999999</v>
      </c>
      <c r="E198" s="3"/>
    </row>
    <row r="199" spans="2:5" ht="13.25" customHeight="1">
      <c r="B199" s="203">
        <v>41284</v>
      </c>
      <c r="C199" s="202">
        <v>2.5833539999999999</v>
      </c>
      <c r="D199" s="202">
        <v>2.2586040000000001</v>
      </c>
      <c r="E199" s="3"/>
    </row>
    <row r="200" spans="2:5" ht="13.25" customHeight="1">
      <c r="B200" s="203">
        <v>41285</v>
      </c>
      <c r="C200" s="202">
        <v>2.5463870000000002</v>
      </c>
      <c r="D200" s="202">
        <v>2.789628</v>
      </c>
      <c r="E200" s="3"/>
    </row>
    <row r="201" spans="2:5" ht="13.25" customHeight="1">
      <c r="B201" s="203">
        <v>41288</v>
      </c>
      <c r="C201" s="202">
        <v>2.5333399999999999</v>
      </c>
      <c r="D201" s="202">
        <v>2.2432859999999999</v>
      </c>
      <c r="E201" s="3"/>
    </row>
    <row r="202" spans="2:5" ht="13.25" customHeight="1">
      <c r="B202" s="203">
        <v>41289</v>
      </c>
      <c r="C202" s="202">
        <v>2.5181179999999999</v>
      </c>
      <c r="D202" s="202">
        <v>2.6168779999999998</v>
      </c>
      <c r="E202" s="3"/>
    </row>
    <row r="203" spans="2:5" ht="13.25" customHeight="1">
      <c r="B203" s="203">
        <v>41290</v>
      </c>
      <c r="C203" s="202">
        <v>2.5115949999999998</v>
      </c>
      <c r="D203" s="202">
        <v>4.9035339999999996</v>
      </c>
      <c r="E203" s="3"/>
    </row>
    <row r="204" spans="2:5" ht="13.25" customHeight="1">
      <c r="B204" s="203">
        <v>41291</v>
      </c>
      <c r="C204" s="202">
        <v>2.5224679999999999</v>
      </c>
      <c r="D204" s="202">
        <v>2.5913040000000001</v>
      </c>
      <c r="E204" s="3"/>
    </row>
    <row r="205" spans="2:5" ht="13.25" customHeight="1">
      <c r="B205" s="203">
        <v>41292</v>
      </c>
      <c r="C205" s="202">
        <v>2.5202930000000001</v>
      </c>
      <c r="D205" s="202">
        <v>2.636358</v>
      </c>
      <c r="E205" s="3"/>
    </row>
    <row r="206" spans="2:5" ht="13.25" customHeight="1">
      <c r="B206" s="203">
        <v>41295</v>
      </c>
      <c r="C206" s="202">
        <v>2.5028959999999998</v>
      </c>
      <c r="D206" s="202">
        <v>2.1937920000000002</v>
      </c>
      <c r="E206" s="3"/>
    </row>
    <row r="207" spans="2:5" ht="13.25" customHeight="1">
      <c r="B207" s="203">
        <v>41296</v>
      </c>
      <c r="C207" s="202">
        <v>2.528991</v>
      </c>
      <c r="D207" s="202">
        <v>2.9274420000000001</v>
      </c>
      <c r="E207" s="3"/>
    </row>
    <row r="208" spans="2:5" ht="13.25" customHeight="1">
      <c r="B208" s="203">
        <v>41297</v>
      </c>
      <c r="C208" s="202">
        <v>2.5659580000000002</v>
      </c>
      <c r="D208" s="202">
        <v>2.9206880000000002</v>
      </c>
      <c r="E208" s="3"/>
    </row>
    <row r="209" spans="2:5" ht="13.25" customHeight="1">
      <c r="B209" s="203">
        <v>41298</v>
      </c>
      <c r="C209" s="202">
        <v>2.579005</v>
      </c>
      <c r="D209" s="202">
        <v>1.5223660000000001</v>
      </c>
      <c r="E209" s="3"/>
    </row>
    <row r="210" spans="2:5" ht="13.25" customHeight="1">
      <c r="B210" s="203">
        <v>41299</v>
      </c>
      <c r="C210" s="202">
        <v>2.5768309999999999</v>
      </c>
      <c r="D210" s="202">
        <v>1.8183819999999999</v>
      </c>
      <c r="E210" s="3"/>
    </row>
    <row r="211" spans="2:5" ht="13.25" customHeight="1">
      <c r="B211" s="203">
        <v>41302</v>
      </c>
      <c r="C211" s="202">
        <v>2.5964010000000002</v>
      </c>
      <c r="D211" s="202">
        <v>1.480934</v>
      </c>
      <c r="E211" s="3"/>
    </row>
    <row r="212" spans="2:5" ht="13.25" customHeight="1">
      <c r="B212" s="203">
        <v>41303</v>
      </c>
      <c r="C212" s="202">
        <v>2.5550860000000002</v>
      </c>
      <c r="D212" s="202">
        <v>3.6514700000000002</v>
      </c>
      <c r="E212" s="3"/>
    </row>
    <row r="213" spans="2:5" ht="13.25" customHeight="1">
      <c r="B213" s="203">
        <v>41304</v>
      </c>
      <c r="C213" s="202">
        <v>2.5224679999999999</v>
      </c>
      <c r="D213" s="202">
        <v>2.395578</v>
      </c>
      <c r="E213" s="3"/>
    </row>
    <row r="214" spans="2:5" ht="13.25" customHeight="1">
      <c r="B214" s="203">
        <v>41305</v>
      </c>
      <c r="C214" s="202">
        <v>2.5007220000000001</v>
      </c>
      <c r="D214" s="202">
        <v>1.629624</v>
      </c>
      <c r="E214" s="3"/>
    </row>
    <row r="215" spans="2:5" ht="13.25" customHeight="1">
      <c r="B215" s="203">
        <v>41306</v>
      </c>
      <c r="C215" s="202">
        <v>2.528991</v>
      </c>
      <c r="D215" s="202">
        <v>2.6141000000000001</v>
      </c>
      <c r="E215" s="3"/>
    </row>
    <row r="216" spans="2:5" ht="13.25" customHeight="1">
      <c r="B216" s="203">
        <v>41309</v>
      </c>
      <c r="C216" s="202">
        <v>2.4811510000000001</v>
      </c>
      <c r="D216" s="202">
        <v>2.3430460000000002</v>
      </c>
      <c r="E216" s="3"/>
    </row>
    <row r="217" spans="2:5" ht="13.25" customHeight="1">
      <c r="B217" s="203">
        <v>41310</v>
      </c>
      <c r="C217" s="202">
        <v>2.4789759999999998</v>
      </c>
      <c r="D217" s="202">
        <v>2.1867800000000002</v>
      </c>
      <c r="E217" s="3"/>
    </row>
    <row r="218" spans="2:5" ht="13.25" customHeight="1">
      <c r="B218" s="203">
        <v>41311</v>
      </c>
      <c r="C218" s="202">
        <v>2.50942</v>
      </c>
      <c r="D218" s="202">
        <v>3.0498280000000002</v>
      </c>
      <c r="E218" s="3"/>
    </row>
    <row r="219" spans="2:5" ht="13.25" customHeight="1">
      <c r="B219" s="203">
        <v>41312</v>
      </c>
      <c r="C219" s="202">
        <v>2.4746269999999999</v>
      </c>
      <c r="D219" s="202">
        <v>1.598444</v>
      </c>
      <c r="E219" s="3"/>
    </row>
    <row r="220" spans="2:5" ht="13.25" customHeight="1">
      <c r="B220" s="203">
        <v>41313</v>
      </c>
      <c r="C220" s="202">
        <v>2.4855</v>
      </c>
      <c r="D220" s="202">
        <v>1.078438</v>
      </c>
      <c r="E220" s="3"/>
    </row>
    <row r="221" spans="2:5" ht="13.25" customHeight="1">
      <c r="B221" s="203">
        <v>41316</v>
      </c>
      <c r="C221" s="202">
        <v>2.4572310000000002</v>
      </c>
      <c r="D221" s="202">
        <v>2.4960059999999999</v>
      </c>
      <c r="E221" s="3"/>
    </row>
    <row r="222" spans="2:5" ht="13.25" customHeight="1">
      <c r="B222" s="203">
        <v>41317</v>
      </c>
      <c r="C222" s="202">
        <v>2.450707</v>
      </c>
      <c r="D222" s="202">
        <v>6.0080359999999997</v>
      </c>
      <c r="E222" s="3"/>
    </row>
    <row r="223" spans="2:5" ht="13.25" customHeight="1">
      <c r="B223" s="203">
        <v>41318</v>
      </c>
      <c r="C223" s="202">
        <v>2.4811510000000001</v>
      </c>
      <c r="D223" s="202">
        <v>3.2320700000000002</v>
      </c>
      <c r="E223" s="3"/>
    </row>
    <row r="224" spans="2:5" ht="13.25" customHeight="1">
      <c r="B224" s="203">
        <v>41319</v>
      </c>
      <c r="C224" s="202">
        <v>2.5007220000000001</v>
      </c>
      <c r="D224" s="202">
        <v>3.083116</v>
      </c>
      <c r="E224" s="3"/>
    </row>
    <row r="225" spans="2:5" ht="13.25" customHeight="1">
      <c r="B225" s="203">
        <v>41320</v>
      </c>
      <c r="C225" s="202">
        <v>2.5028959999999998</v>
      </c>
      <c r="D225" s="202">
        <v>1.74865</v>
      </c>
      <c r="E225" s="3"/>
    </row>
    <row r="226" spans="2:5" ht="13.25" customHeight="1">
      <c r="B226" s="203">
        <v>41323</v>
      </c>
      <c r="C226" s="202">
        <v>2.5072450000000002</v>
      </c>
      <c r="D226" s="202">
        <v>1.208504</v>
      </c>
      <c r="E226" s="3"/>
    </row>
    <row r="227" spans="2:5" ht="13.25" customHeight="1">
      <c r="B227" s="203">
        <v>41324</v>
      </c>
      <c r="C227" s="202">
        <v>2.5529109999999999</v>
      </c>
      <c r="D227" s="202">
        <v>2.1015920000000001</v>
      </c>
      <c r="E227" s="3"/>
    </row>
    <row r="228" spans="2:5" ht="13.25" customHeight="1">
      <c r="B228" s="203">
        <v>41325</v>
      </c>
      <c r="C228" s="202">
        <v>2.5594350000000001</v>
      </c>
      <c r="D228" s="202">
        <v>2.3591039999999999</v>
      </c>
      <c r="E228" s="3"/>
    </row>
    <row r="229" spans="2:5" ht="13.25" customHeight="1">
      <c r="B229" s="203">
        <v>41326</v>
      </c>
      <c r="C229" s="202">
        <v>2.5333399999999999</v>
      </c>
      <c r="D229" s="202">
        <v>1.697084</v>
      </c>
      <c r="E229" s="3"/>
    </row>
    <row r="230" spans="2:5" ht="13.25" customHeight="1">
      <c r="B230" s="203">
        <v>41327</v>
      </c>
      <c r="C230" s="202">
        <v>2.5877029999999999</v>
      </c>
      <c r="D230" s="202">
        <v>2.9525079999999999</v>
      </c>
      <c r="E230" s="3"/>
    </row>
    <row r="231" spans="2:5" ht="13.25" customHeight="1">
      <c r="B231" s="203">
        <v>41330</v>
      </c>
      <c r="C231" s="202">
        <v>2.5594350000000001</v>
      </c>
      <c r="D231" s="202">
        <v>4.6499920000000001</v>
      </c>
      <c r="E231" s="3"/>
    </row>
    <row r="232" spans="2:5" ht="13.25" customHeight="1">
      <c r="B232" s="203">
        <v>41331</v>
      </c>
      <c r="C232" s="202">
        <v>2.5311650000000001</v>
      </c>
      <c r="D232" s="202">
        <v>2.8182260000000001</v>
      </c>
      <c r="E232" s="3"/>
    </row>
    <row r="233" spans="2:5" ht="13.25" customHeight="1">
      <c r="B233" s="203">
        <v>41332</v>
      </c>
      <c r="C233" s="202">
        <v>2.598576</v>
      </c>
      <c r="D233" s="202">
        <v>1.9418899999999999</v>
      </c>
      <c r="E233" s="3"/>
    </row>
    <row r="234" spans="2:5" ht="13.25" customHeight="1">
      <c r="B234" s="203">
        <v>41333</v>
      </c>
      <c r="C234" s="202">
        <v>2.6507649999999998</v>
      </c>
      <c r="D234" s="202">
        <v>3.478828</v>
      </c>
      <c r="E234" s="3"/>
    </row>
    <row r="235" spans="2:5" ht="13.25" customHeight="1">
      <c r="B235" s="203">
        <v>41334</v>
      </c>
      <c r="C235" s="202">
        <v>2.618147</v>
      </c>
      <c r="D235" s="202">
        <v>1.949586</v>
      </c>
      <c r="E235" s="3"/>
    </row>
    <row r="236" spans="2:5" ht="13.25" customHeight="1">
      <c r="B236" s="203">
        <v>41337</v>
      </c>
      <c r="C236" s="202">
        <v>2.618147</v>
      </c>
      <c r="D236" s="202">
        <v>3.4092799999999999</v>
      </c>
      <c r="E236" s="3"/>
    </row>
    <row r="237" spans="2:5" ht="13.25" customHeight="1">
      <c r="B237" s="203">
        <v>41338</v>
      </c>
      <c r="C237" s="202">
        <v>2.6268449999999999</v>
      </c>
      <c r="D237" s="202">
        <v>3.6081379999999998</v>
      </c>
      <c r="E237" s="3"/>
    </row>
    <row r="238" spans="2:5" ht="13.25" customHeight="1">
      <c r="B238" s="203">
        <v>41339</v>
      </c>
      <c r="C238" s="202">
        <v>2.6268449999999999</v>
      </c>
      <c r="D238" s="202">
        <v>1.7331540000000001</v>
      </c>
      <c r="E238" s="3"/>
    </row>
    <row r="239" spans="2:5" ht="13.25" customHeight="1">
      <c r="B239" s="203">
        <v>41340</v>
      </c>
      <c r="C239" s="202">
        <v>2.5572599999999999</v>
      </c>
      <c r="D239" s="202">
        <v>4.4925160000000002</v>
      </c>
      <c r="E239" s="3"/>
    </row>
    <row r="240" spans="2:5" ht="13.25" customHeight="1">
      <c r="B240" s="203">
        <v>41341</v>
      </c>
      <c r="C240" s="202">
        <v>2.5442130000000001</v>
      </c>
      <c r="D240" s="202">
        <v>5.225346</v>
      </c>
      <c r="E240" s="3"/>
    </row>
    <row r="241" spans="2:5" ht="13.25" customHeight="1">
      <c r="B241" s="203">
        <v>41344</v>
      </c>
      <c r="C241" s="202">
        <v>2.505071</v>
      </c>
      <c r="D241" s="202">
        <v>3.2841580000000001</v>
      </c>
      <c r="E241" s="3"/>
    </row>
    <row r="242" spans="2:5" ht="13.25" customHeight="1">
      <c r="B242" s="203">
        <v>41345</v>
      </c>
      <c r="C242" s="202">
        <v>2.548562</v>
      </c>
      <c r="D242" s="202">
        <v>2.04433</v>
      </c>
      <c r="E242" s="3"/>
    </row>
    <row r="243" spans="2:5" ht="13.25" customHeight="1">
      <c r="B243" s="203">
        <v>41346</v>
      </c>
      <c r="C243" s="202">
        <v>2.5376889999999999</v>
      </c>
      <c r="D243" s="202">
        <v>1.953152</v>
      </c>
      <c r="E243" s="3"/>
    </row>
    <row r="244" spans="2:5" ht="13.25" customHeight="1">
      <c r="B244" s="203">
        <v>41347</v>
      </c>
      <c r="C244" s="202">
        <v>2.5746560000000001</v>
      </c>
      <c r="D244" s="202">
        <v>2.0593020000000002</v>
      </c>
      <c r="E244" s="3"/>
    </row>
    <row r="245" spans="2:5" ht="13.25" customHeight="1">
      <c r="B245" s="203">
        <v>41348</v>
      </c>
      <c r="C245" s="202">
        <v>2.579005</v>
      </c>
      <c r="D245" s="202">
        <v>1.292006</v>
      </c>
      <c r="E245" s="3"/>
    </row>
    <row r="246" spans="2:5" ht="13.25" customHeight="1">
      <c r="B246" s="203">
        <v>41351</v>
      </c>
      <c r="C246" s="202">
        <v>2.5768309999999999</v>
      </c>
      <c r="D246" s="202">
        <v>1.428936</v>
      </c>
      <c r="E246" s="3"/>
    </row>
    <row r="247" spans="2:5" ht="13.25" customHeight="1">
      <c r="B247" s="203">
        <v>41352</v>
      </c>
      <c r="C247" s="202">
        <v>2.5898780000000001</v>
      </c>
      <c r="D247" s="202">
        <v>3.111056</v>
      </c>
      <c r="E247" s="3"/>
    </row>
    <row r="248" spans="2:5" ht="13.25" customHeight="1">
      <c r="B248" s="203">
        <v>41353</v>
      </c>
      <c r="C248" s="202">
        <v>2.618147</v>
      </c>
      <c r="D248" s="202">
        <v>1.4717560000000001</v>
      </c>
      <c r="E248" s="3"/>
    </row>
    <row r="249" spans="2:5" ht="13.25" customHeight="1">
      <c r="B249" s="203">
        <v>41354</v>
      </c>
      <c r="C249" s="202">
        <v>2.6311939999999998</v>
      </c>
      <c r="D249" s="202">
        <v>3.29643</v>
      </c>
      <c r="E249" s="3"/>
    </row>
    <row r="250" spans="2:5" ht="13.25" customHeight="1">
      <c r="B250" s="203">
        <v>41355</v>
      </c>
      <c r="C250" s="202">
        <v>2.7029540000000001</v>
      </c>
      <c r="D250" s="202">
        <v>3.7609520000000001</v>
      </c>
      <c r="E250" s="3"/>
    </row>
    <row r="251" spans="2:5" ht="13.25" customHeight="1">
      <c r="B251" s="203">
        <v>41358</v>
      </c>
      <c r="C251" s="202">
        <v>2.668161</v>
      </c>
      <c r="D251" s="202">
        <v>2.5310800000000002</v>
      </c>
      <c r="E251" s="3"/>
    </row>
    <row r="252" spans="2:5" ht="13.25" customHeight="1">
      <c r="B252" s="203">
        <v>41359</v>
      </c>
      <c r="C252" s="202">
        <v>2.6899069999999998</v>
      </c>
      <c r="D252" s="202">
        <v>2.678382</v>
      </c>
      <c r="E252" s="3"/>
    </row>
    <row r="253" spans="2:5" ht="13.25" customHeight="1">
      <c r="B253" s="203">
        <v>41360</v>
      </c>
      <c r="C253" s="202">
        <v>2.6355430000000002</v>
      </c>
      <c r="D253" s="202">
        <v>2.5615239999999999</v>
      </c>
      <c r="E253" s="3"/>
    </row>
    <row r="254" spans="2:5" ht="13.25" customHeight="1">
      <c r="B254" s="203">
        <v>41361</v>
      </c>
      <c r="C254" s="202">
        <v>2.6398929999999998</v>
      </c>
      <c r="D254" s="202">
        <v>1.7022219999999999</v>
      </c>
      <c r="E254" s="3"/>
    </row>
    <row r="255" spans="2:5" ht="13.25" customHeight="1">
      <c r="B255" s="203">
        <v>41366</v>
      </c>
      <c r="C255" s="202">
        <v>2.6703359999999998</v>
      </c>
      <c r="D255" s="202">
        <v>1.2081</v>
      </c>
      <c r="E255" s="3"/>
    </row>
    <row r="256" spans="2:5" ht="13.25" customHeight="1">
      <c r="B256" s="203">
        <v>41367</v>
      </c>
      <c r="C256" s="202">
        <v>2.6268449999999999</v>
      </c>
      <c r="D256" s="202">
        <v>1.5085</v>
      </c>
      <c r="E256" s="3"/>
    </row>
    <row r="257" spans="2:5" ht="13.25" customHeight="1">
      <c r="B257" s="203">
        <v>41368</v>
      </c>
      <c r="C257" s="202">
        <v>2.6311939999999998</v>
      </c>
      <c r="D257" s="202">
        <v>1.48478</v>
      </c>
      <c r="E257" s="3"/>
    </row>
    <row r="258" spans="2:5" ht="13.25" customHeight="1">
      <c r="B258" s="203">
        <v>41369</v>
      </c>
      <c r="C258" s="202">
        <v>2.6268449999999999</v>
      </c>
      <c r="D258" s="202">
        <v>1.5848819999999999</v>
      </c>
      <c r="E258" s="3"/>
    </row>
    <row r="259" spans="2:5" ht="13.25" customHeight="1">
      <c r="B259" s="203">
        <v>41372</v>
      </c>
      <c r="C259" s="202">
        <v>2.6659869999999999</v>
      </c>
      <c r="D259" s="202">
        <v>1.586692</v>
      </c>
      <c r="E259" s="3"/>
    </row>
    <row r="260" spans="2:5" ht="13.25" customHeight="1">
      <c r="B260" s="203">
        <v>41373</v>
      </c>
      <c r="C260" s="202">
        <v>2.6311939999999998</v>
      </c>
      <c r="D260" s="202">
        <v>1.856692</v>
      </c>
      <c r="E260" s="3"/>
    </row>
    <row r="261" spans="2:5" ht="13.25" customHeight="1">
      <c r="B261" s="203">
        <v>41374</v>
      </c>
      <c r="C261" s="202">
        <v>2.6833830000000001</v>
      </c>
      <c r="D261" s="202">
        <v>2.1126499999999999</v>
      </c>
      <c r="E261" s="3"/>
    </row>
    <row r="262" spans="2:5" ht="13.25" customHeight="1">
      <c r="B262" s="203">
        <v>41375</v>
      </c>
      <c r="C262" s="202">
        <v>2.657289</v>
      </c>
      <c r="D262" s="202">
        <v>2.5074519999999998</v>
      </c>
      <c r="E262" s="3"/>
    </row>
    <row r="263" spans="2:5" ht="13.25" customHeight="1">
      <c r="B263" s="203">
        <v>41376</v>
      </c>
      <c r="C263" s="202">
        <v>2.6159720000000002</v>
      </c>
      <c r="D263" s="202">
        <v>2.6954980000000002</v>
      </c>
      <c r="E263" s="3"/>
    </row>
    <row r="264" spans="2:5" ht="13.25" customHeight="1">
      <c r="B264" s="203">
        <v>41379</v>
      </c>
      <c r="C264" s="202">
        <v>2.6290200000000001</v>
      </c>
      <c r="D264" s="202">
        <v>1.2107680000000001</v>
      </c>
      <c r="E264" s="3"/>
    </row>
    <row r="265" spans="2:5" ht="13.25" customHeight="1">
      <c r="B265" s="203">
        <v>41380</v>
      </c>
      <c r="C265" s="202">
        <v>2.6398929999999998</v>
      </c>
      <c r="D265" s="202">
        <v>1.227252</v>
      </c>
      <c r="E265" s="3"/>
    </row>
    <row r="266" spans="2:5" ht="13.25" customHeight="1">
      <c r="B266" s="203">
        <v>41381</v>
      </c>
      <c r="C266" s="202">
        <v>2.6007509999999998</v>
      </c>
      <c r="D266" s="202">
        <v>1.95953</v>
      </c>
      <c r="E266" s="3"/>
    </row>
    <row r="267" spans="2:5" ht="13.25" customHeight="1">
      <c r="B267" s="203">
        <v>41382</v>
      </c>
      <c r="C267" s="202">
        <v>2.5442130000000001</v>
      </c>
      <c r="D267" s="202">
        <v>3.452016</v>
      </c>
      <c r="E267" s="3"/>
    </row>
    <row r="268" spans="2:5" ht="13.25" customHeight="1">
      <c r="B268" s="203">
        <v>41383</v>
      </c>
      <c r="C268" s="202">
        <v>2.6094490000000001</v>
      </c>
      <c r="D268" s="202">
        <v>1.22028</v>
      </c>
      <c r="E268" s="3"/>
    </row>
    <row r="269" spans="2:5" ht="13.25" customHeight="1">
      <c r="B269" s="203">
        <v>41386</v>
      </c>
      <c r="C269" s="202">
        <v>2.6159720000000002</v>
      </c>
      <c r="D269" s="202">
        <v>1.4329620000000001</v>
      </c>
      <c r="E269" s="3"/>
    </row>
    <row r="270" spans="2:5" ht="13.25" customHeight="1">
      <c r="B270" s="203">
        <v>41387</v>
      </c>
      <c r="C270" s="202">
        <v>2.6442420000000002</v>
      </c>
      <c r="D270" s="202">
        <v>2.1212059999999999</v>
      </c>
      <c r="E270" s="3"/>
    </row>
    <row r="271" spans="2:5" ht="13.25" customHeight="1">
      <c r="B271" s="203">
        <v>41388</v>
      </c>
      <c r="C271" s="202">
        <v>2.6094490000000001</v>
      </c>
      <c r="D271" s="202">
        <v>1.9685520000000001</v>
      </c>
      <c r="E271" s="3"/>
    </row>
    <row r="272" spans="2:5" ht="13.25" customHeight="1">
      <c r="B272" s="203">
        <v>41389</v>
      </c>
      <c r="C272" s="202">
        <v>2.6094490000000001</v>
      </c>
      <c r="D272" s="202">
        <v>1.9228179999999999</v>
      </c>
      <c r="E272" s="3"/>
    </row>
    <row r="273" spans="2:5" ht="13.25" customHeight="1">
      <c r="B273" s="203">
        <v>41390</v>
      </c>
      <c r="C273" s="202">
        <v>2.6224959999999999</v>
      </c>
      <c r="D273" s="202">
        <v>1.5818019999999999</v>
      </c>
      <c r="E273" s="3"/>
    </row>
    <row r="274" spans="2:5" ht="13.25" customHeight="1">
      <c r="B274" s="203">
        <v>41393</v>
      </c>
      <c r="C274" s="202">
        <v>2.70078</v>
      </c>
      <c r="D274" s="202">
        <v>2.3029639999999998</v>
      </c>
      <c r="E274" s="3"/>
    </row>
    <row r="275" spans="2:5" ht="13.25" customHeight="1">
      <c r="B275" s="203">
        <v>41394</v>
      </c>
      <c r="C275" s="202">
        <v>2.6833830000000001</v>
      </c>
      <c r="D275" s="202">
        <v>2.0856680000000001</v>
      </c>
      <c r="E275" s="3"/>
    </row>
    <row r="276" spans="2:5" ht="13.25" customHeight="1">
      <c r="B276" s="203">
        <v>41396</v>
      </c>
      <c r="C276" s="202">
        <v>2.6920809999999999</v>
      </c>
      <c r="D276" s="202">
        <v>2.8094459999999999</v>
      </c>
      <c r="E276" s="3"/>
    </row>
    <row r="277" spans="2:5" ht="13.25" customHeight="1">
      <c r="B277" s="203">
        <v>41397</v>
      </c>
      <c r="C277" s="202">
        <v>2.6703359999999998</v>
      </c>
      <c r="D277" s="202">
        <v>1.9321619999999999</v>
      </c>
      <c r="E277" s="3"/>
    </row>
    <row r="278" spans="2:5" ht="13.25" customHeight="1">
      <c r="B278" s="203">
        <v>41400</v>
      </c>
      <c r="C278" s="202">
        <v>2.6507649999999998</v>
      </c>
      <c r="D278" s="202">
        <v>3.2148000000000003E-2</v>
      </c>
      <c r="E278" s="3"/>
    </row>
    <row r="279" spans="2:5" ht="13.25" customHeight="1">
      <c r="B279" s="203">
        <v>41401</v>
      </c>
      <c r="C279" s="202">
        <v>2.6942560000000002</v>
      </c>
      <c r="D279" s="202">
        <v>2.0112519999999998</v>
      </c>
      <c r="E279" s="3"/>
    </row>
    <row r="280" spans="2:5" ht="13.25" customHeight="1">
      <c r="B280" s="203">
        <v>41402</v>
      </c>
      <c r="C280" s="202">
        <v>2.7573180000000002</v>
      </c>
      <c r="D280" s="202">
        <v>3.3802560000000001</v>
      </c>
      <c r="E280" s="3"/>
    </row>
    <row r="281" spans="2:5" ht="13.25" customHeight="1">
      <c r="B281" s="203">
        <v>41403</v>
      </c>
      <c r="C281" s="202">
        <v>2.70078</v>
      </c>
      <c r="D281" s="202">
        <v>1.730308</v>
      </c>
      <c r="E281" s="3"/>
    </row>
    <row r="282" spans="2:5" ht="13.25" customHeight="1">
      <c r="B282" s="203">
        <v>41404</v>
      </c>
      <c r="C282" s="202">
        <v>2.6812079999999998</v>
      </c>
      <c r="D282" s="202">
        <v>2.7939340000000001</v>
      </c>
      <c r="E282" s="3"/>
    </row>
    <row r="283" spans="2:5" ht="13.25" customHeight="1">
      <c r="B283" s="203">
        <v>41407</v>
      </c>
      <c r="C283" s="202">
        <v>2.6268449999999999</v>
      </c>
      <c r="D283" s="202">
        <v>5.4088719999999997</v>
      </c>
      <c r="E283" s="3"/>
    </row>
    <row r="284" spans="2:5" ht="13.25" customHeight="1">
      <c r="B284" s="203">
        <v>41408</v>
      </c>
      <c r="C284" s="202">
        <v>2.5877029999999999</v>
      </c>
      <c r="D284" s="202">
        <v>4.3714199999999996</v>
      </c>
      <c r="E284" s="3"/>
    </row>
    <row r="285" spans="2:5" ht="13.25" customHeight="1">
      <c r="B285" s="203">
        <v>41409</v>
      </c>
      <c r="C285" s="202">
        <v>2.618147</v>
      </c>
      <c r="D285" s="202">
        <v>2.5565159999999998</v>
      </c>
      <c r="E285" s="3"/>
    </row>
    <row r="286" spans="2:5" ht="13.25" customHeight="1">
      <c r="B286" s="203">
        <v>41410</v>
      </c>
      <c r="C286" s="202">
        <v>2.5855290000000002</v>
      </c>
      <c r="D286" s="202">
        <v>1.786586</v>
      </c>
      <c r="E286" s="3"/>
    </row>
    <row r="287" spans="2:5" ht="13.25" customHeight="1">
      <c r="B287" s="203">
        <v>41411</v>
      </c>
      <c r="C287" s="202">
        <v>2.5703070000000001</v>
      </c>
      <c r="D287" s="202">
        <v>1.5026999999999999</v>
      </c>
      <c r="E287" s="3"/>
    </row>
    <row r="288" spans="2:5" ht="13.25" customHeight="1">
      <c r="B288" s="203">
        <v>41414</v>
      </c>
      <c r="C288" s="202">
        <v>2.6103990000000001</v>
      </c>
      <c r="D288" s="202">
        <v>2.1574559999999998</v>
      </c>
      <c r="E288" s="3"/>
    </row>
    <row r="289" spans="2:5" ht="13.25" customHeight="1">
      <c r="B289" s="203">
        <v>41415</v>
      </c>
      <c r="C289" s="202">
        <v>2.6126260000000001</v>
      </c>
      <c r="D289" s="202">
        <v>2.7807140000000001</v>
      </c>
      <c r="E289" s="3"/>
    </row>
    <row r="290" spans="2:5" ht="13.25" customHeight="1">
      <c r="B290" s="203">
        <v>41416</v>
      </c>
      <c r="C290" s="202">
        <v>2.6371259999999999</v>
      </c>
      <c r="D290" s="202">
        <v>2.8237559999999999</v>
      </c>
      <c r="E290" s="3"/>
    </row>
    <row r="291" spans="2:5" ht="13.25" customHeight="1">
      <c r="B291" s="203">
        <v>41417</v>
      </c>
      <c r="C291" s="202">
        <v>2.5346700000000002</v>
      </c>
      <c r="D291" s="202">
        <v>4.3541080000000001</v>
      </c>
      <c r="E291" s="3"/>
    </row>
    <row r="292" spans="2:5" ht="13.25" customHeight="1">
      <c r="B292" s="203">
        <v>41418</v>
      </c>
      <c r="C292" s="202">
        <v>2.5480339999999999</v>
      </c>
      <c r="D292" s="202">
        <v>1.1093139999999999</v>
      </c>
      <c r="E292" s="3"/>
    </row>
    <row r="293" spans="2:5" ht="13.25" customHeight="1">
      <c r="B293" s="203">
        <v>41421</v>
      </c>
      <c r="C293" s="202">
        <v>2.5836709999999998</v>
      </c>
      <c r="D293" s="202">
        <v>1.3252120000000001</v>
      </c>
      <c r="E293" s="3"/>
    </row>
    <row r="294" spans="2:5" ht="13.25" customHeight="1">
      <c r="B294" s="203">
        <v>41422</v>
      </c>
      <c r="C294" s="202">
        <v>2.6237629999999998</v>
      </c>
      <c r="D294" s="202">
        <v>2.487778</v>
      </c>
      <c r="E294" s="3"/>
    </row>
    <row r="295" spans="2:5" ht="13.25" customHeight="1">
      <c r="B295" s="203">
        <v>41423</v>
      </c>
      <c r="C295" s="202">
        <v>2.5613980000000001</v>
      </c>
      <c r="D295" s="202">
        <v>2.1047440000000002</v>
      </c>
      <c r="E295" s="3"/>
    </row>
    <row r="296" spans="2:5" ht="13.25" customHeight="1">
      <c r="B296" s="203">
        <v>41424</v>
      </c>
      <c r="C296" s="202">
        <v>2.563625</v>
      </c>
      <c r="D296" s="202">
        <v>1.3036859999999999</v>
      </c>
      <c r="E296" s="3"/>
    </row>
    <row r="297" spans="2:5" ht="13.25" customHeight="1">
      <c r="B297" s="203">
        <v>41425</v>
      </c>
      <c r="C297" s="202">
        <v>2.5502609999999999</v>
      </c>
      <c r="D297" s="202">
        <v>2.2957260000000002</v>
      </c>
      <c r="E297" s="3"/>
    </row>
    <row r="298" spans="2:5" ht="13.25" customHeight="1">
      <c r="B298" s="203">
        <v>41428</v>
      </c>
      <c r="C298" s="202">
        <v>2.5302159999999998</v>
      </c>
      <c r="D298" s="202">
        <v>3.059002</v>
      </c>
      <c r="E298" s="3"/>
    </row>
    <row r="299" spans="2:5" ht="13.25" customHeight="1">
      <c r="B299" s="203">
        <v>41429</v>
      </c>
      <c r="C299" s="202">
        <v>2.5346700000000002</v>
      </c>
      <c r="D299" s="202">
        <v>2.6740499999999998</v>
      </c>
      <c r="E299" s="3"/>
    </row>
    <row r="300" spans="2:5" ht="13.25" customHeight="1">
      <c r="B300" s="203">
        <v>41430</v>
      </c>
      <c r="C300" s="202">
        <v>2.51017</v>
      </c>
      <c r="D300" s="202">
        <v>2.2842799999999999</v>
      </c>
      <c r="E300" s="3"/>
    </row>
    <row r="301" spans="2:5" ht="13.25" customHeight="1">
      <c r="B301" s="203">
        <v>41431</v>
      </c>
      <c r="C301" s="202">
        <v>2.4834420000000001</v>
      </c>
      <c r="D301" s="202">
        <v>3.0884179999999999</v>
      </c>
      <c r="E301" s="3"/>
    </row>
    <row r="302" spans="2:5" ht="13.25" customHeight="1">
      <c r="B302" s="203">
        <v>41432</v>
      </c>
      <c r="C302" s="202">
        <v>2.5057149999999999</v>
      </c>
      <c r="D302" s="202">
        <v>1.644862</v>
      </c>
      <c r="E302" s="3"/>
    </row>
    <row r="303" spans="2:5" ht="13.25" customHeight="1">
      <c r="B303" s="203">
        <v>41435</v>
      </c>
      <c r="C303" s="202">
        <v>2.467851</v>
      </c>
      <c r="D303" s="202">
        <v>1.7172860000000001</v>
      </c>
      <c r="E303" s="3"/>
    </row>
    <row r="304" spans="2:5" ht="13.25" customHeight="1">
      <c r="B304" s="203">
        <v>41436</v>
      </c>
      <c r="C304" s="202">
        <v>2.4344420000000002</v>
      </c>
      <c r="D304" s="202">
        <v>2.0588299999999999</v>
      </c>
      <c r="E304" s="3"/>
    </row>
    <row r="305" spans="2:5" ht="13.25" customHeight="1">
      <c r="B305" s="203">
        <v>41437</v>
      </c>
      <c r="C305" s="202">
        <v>2.4723060000000001</v>
      </c>
      <c r="D305" s="202">
        <v>2.640752</v>
      </c>
      <c r="E305" s="3"/>
    </row>
    <row r="306" spans="2:5" ht="13.25" customHeight="1">
      <c r="B306" s="203">
        <v>41438</v>
      </c>
      <c r="C306" s="202">
        <v>2.4923519999999999</v>
      </c>
      <c r="D306" s="202">
        <v>3.1512859999999998</v>
      </c>
      <c r="E306" s="3"/>
    </row>
    <row r="307" spans="2:5" ht="13.25" customHeight="1">
      <c r="B307" s="203">
        <v>41439</v>
      </c>
      <c r="C307" s="202">
        <v>2.552489</v>
      </c>
      <c r="D307" s="202">
        <v>2.8548260000000001</v>
      </c>
      <c r="E307" s="3"/>
    </row>
    <row r="308" spans="2:5" ht="13.25" customHeight="1">
      <c r="B308" s="203">
        <v>41442</v>
      </c>
      <c r="C308" s="202">
        <v>2.6014900000000001</v>
      </c>
      <c r="D308" s="202">
        <v>2.6843840000000001</v>
      </c>
      <c r="E308" s="3"/>
    </row>
    <row r="309" spans="2:5" ht="13.25" customHeight="1">
      <c r="B309" s="203">
        <v>41443</v>
      </c>
      <c r="C309" s="202">
        <v>2.5903529999999999</v>
      </c>
      <c r="D309" s="202">
        <v>2.2123680000000001</v>
      </c>
      <c r="E309" s="3"/>
    </row>
    <row r="310" spans="2:5" ht="13.25" customHeight="1">
      <c r="B310" s="203">
        <v>41444</v>
      </c>
      <c r="C310" s="202">
        <v>2.5858979999999998</v>
      </c>
      <c r="D310" s="202">
        <v>1.377464</v>
      </c>
      <c r="E310" s="3"/>
    </row>
    <row r="311" spans="2:5" ht="13.25" customHeight="1">
      <c r="B311" s="203">
        <v>41445</v>
      </c>
      <c r="C311" s="202">
        <v>2.5235340000000002</v>
      </c>
      <c r="D311" s="202">
        <v>3.0552139999999999</v>
      </c>
      <c r="E311" s="3"/>
    </row>
    <row r="312" spans="2:5" ht="13.25" customHeight="1">
      <c r="B312" s="203">
        <v>41446</v>
      </c>
      <c r="C312" s="202">
        <v>2.4723060000000001</v>
      </c>
      <c r="D312" s="202">
        <v>2.367982</v>
      </c>
      <c r="E312" s="3"/>
    </row>
    <row r="313" spans="2:5" ht="13.25" customHeight="1">
      <c r="B313" s="203">
        <v>41449</v>
      </c>
      <c r="C313" s="202">
        <v>2.465624</v>
      </c>
      <c r="D313" s="202">
        <v>2.4977100000000001</v>
      </c>
      <c r="E313" s="3"/>
    </row>
    <row r="314" spans="2:5" ht="13.25" customHeight="1">
      <c r="B314" s="203">
        <v>41450</v>
      </c>
      <c r="C314" s="202">
        <v>2.458942</v>
      </c>
      <c r="D314" s="202">
        <v>2.249946</v>
      </c>
      <c r="E314" s="3"/>
    </row>
    <row r="315" spans="2:5" ht="13.25" customHeight="1">
      <c r="B315" s="203">
        <v>41451</v>
      </c>
      <c r="C315" s="202">
        <v>2.4567139999999998</v>
      </c>
      <c r="D315" s="202">
        <v>1.743268</v>
      </c>
      <c r="E315" s="3"/>
    </row>
    <row r="316" spans="2:5" ht="13.25" customHeight="1">
      <c r="B316" s="203">
        <v>41452</v>
      </c>
      <c r="C316" s="202">
        <v>2.4968059999999999</v>
      </c>
      <c r="D316" s="202">
        <v>1.1131139999999999</v>
      </c>
      <c r="E316" s="3"/>
    </row>
    <row r="317" spans="2:5" ht="13.25" customHeight="1">
      <c r="B317" s="203">
        <v>41453</v>
      </c>
      <c r="C317" s="202">
        <v>2.4789880000000002</v>
      </c>
      <c r="D317" s="202">
        <v>1.25386</v>
      </c>
      <c r="E317" s="3"/>
    </row>
    <row r="318" spans="2:5" ht="13.25" customHeight="1">
      <c r="B318" s="203">
        <v>41456</v>
      </c>
      <c r="C318" s="202">
        <v>2.4878969999999998</v>
      </c>
      <c r="D318" s="202">
        <v>1.1111839999999999</v>
      </c>
      <c r="E318" s="3"/>
    </row>
    <row r="319" spans="2:5" ht="13.25" customHeight="1">
      <c r="B319" s="203">
        <v>41457</v>
      </c>
      <c r="C319" s="202">
        <v>2.4923519999999999</v>
      </c>
      <c r="D319" s="202">
        <v>0.84809199999999996</v>
      </c>
      <c r="E319" s="3"/>
    </row>
    <row r="320" spans="2:5" ht="13.25" customHeight="1">
      <c r="B320" s="203">
        <v>41458</v>
      </c>
      <c r="C320" s="202">
        <v>2.4322140000000001</v>
      </c>
      <c r="D320" s="202">
        <v>1.7749299999999999</v>
      </c>
      <c r="E320" s="3"/>
    </row>
    <row r="321" spans="2:5" ht="13.25" customHeight="1">
      <c r="B321" s="203">
        <v>41459</v>
      </c>
      <c r="C321" s="202">
        <v>2.499034</v>
      </c>
      <c r="D321" s="202">
        <v>1.2885519999999999</v>
      </c>
      <c r="E321" s="3"/>
    </row>
    <row r="322" spans="2:5" ht="13.25" customHeight="1">
      <c r="B322" s="203">
        <v>41460</v>
      </c>
      <c r="C322" s="202">
        <v>2.458942</v>
      </c>
      <c r="D322" s="202">
        <v>1.656846</v>
      </c>
      <c r="E322" s="3"/>
    </row>
    <row r="323" spans="2:5" ht="13.25" customHeight="1">
      <c r="B323" s="203">
        <v>41463</v>
      </c>
      <c r="C323" s="202">
        <v>2.5057149999999999</v>
      </c>
      <c r="D323" s="202">
        <v>0.97601400000000005</v>
      </c>
      <c r="E323" s="3"/>
    </row>
    <row r="324" spans="2:5" ht="13.25" customHeight="1">
      <c r="B324" s="203">
        <v>41464</v>
      </c>
      <c r="C324" s="202">
        <v>2.4923519999999999</v>
      </c>
      <c r="D324" s="202">
        <v>1.0972139999999999</v>
      </c>
      <c r="E324" s="3"/>
    </row>
    <row r="325" spans="2:5" ht="13.25" customHeight="1">
      <c r="B325" s="203">
        <v>41465</v>
      </c>
      <c r="C325" s="202">
        <v>2.5034879999999999</v>
      </c>
      <c r="D325" s="202">
        <v>1.286476</v>
      </c>
      <c r="E325" s="3"/>
    </row>
    <row r="326" spans="2:5" ht="13.25" customHeight="1">
      <c r="B326" s="203">
        <v>41466</v>
      </c>
      <c r="C326" s="202">
        <v>2.4923519999999999</v>
      </c>
      <c r="D326" s="202">
        <v>1.348522</v>
      </c>
      <c r="E326" s="3"/>
    </row>
    <row r="327" spans="2:5" ht="13.25" customHeight="1">
      <c r="B327" s="203">
        <v>41467</v>
      </c>
      <c r="C327" s="202">
        <v>2.4611689999999999</v>
      </c>
      <c r="D327" s="202">
        <v>2.7911820000000001</v>
      </c>
      <c r="E327" s="3"/>
    </row>
    <row r="328" spans="2:5" ht="13.25" customHeight="1">
      <c r="B328" s="203">
        <v>41470</v>
      </c>
      <c r="C328" s="202">
        <v>2.514624</v>
      </c>
      <c r="D328" s="202">
        <v>1.9159980000000001</v>
      </c>
      <c r="E328" s="3"/>
    </row>
    <row r="329" spans="2:5" ht="13.25" customHeight="1">
      <c r="B329" s="203">
        <v>41471</v>
      </c>
      <c r="C329" s="202">
        <v>2.5814439999999998</v>
      </c>
      <c r="D329" s="202">
        <v>2.8228900000000001</v>
      </c>
      <c r="E329" s="3"/>
    </row>
    <row r="330" spans="2:5" ht="13.25" customHeight="1">
      <c r="B330" s="203">
        <v>41472</v>
      </c>
      <c r="C330" s="202">
        <v>2.5814439999999998</v>
      </c>
      <c r="D330" s="202">
        <v>2.6672899999999999</v>
      </c>
      <c r="E330" s="3"/>
    </row>
    <row r="331" spans="2:5" ht="13.25" customHeight="1">
      <c r="B331" s="203">
        <v>41473</v>
      </c>
      <c r="C331" s="202">
        <v>2.5324430000000002</v>
      </c>
      <c r="D331" s="202">
        <v>2.0601319999999999</v>
      </c>
      <c r="E331" s="3"/>
    </row>
    <row r="332" spans="2:5" ht="13.25" customHeight="1">
      <c r="B332" s="203">
        <v>41474</v>
      </c>
      <c r="C332" s="202">
        <v>2.5346700000000002</v>
      </c>
      <c r="D332" s="202">
        <v>1.2739659999999999</v>
      </c>
      <c r="E332" s="3"/>
    </row>
    <row r="333" spans="2:5" ht="13.25" customHeight="1">
      <c r="B333" s="203">
        <v>41477</v>
      </c>
      <c r="C333" s="202">
        <v>2.5680800000000001</v>
      </c>
      <c r="D333" s="202">
        <v>0.86099599999999998</v>
      </c>
      <c r="E333" s="3"/>
    </row>
    <row r="334" spans="2:5" ht="13.25" customHeight="1">
      <c r="B334" s="203">
        <v>41478</v>
      </c>
      <c r="C334" s="202">
        <v>2.552489</v>
      </c>
      <c r="D334" s="202">
        <v>1.800932</v>
      </c>
      <c r="E334" s="3"/>
    </row>
    <row r="335" spans="2:5" ht="13.25" customHeight="1">
      <c r="B335" s="203">
        <v>41479</v>
      </c>
      <c r="C335" s="202">
        <v>2.5836709999999998</v>
      </c>
      <c r="D335" s="202">
        <v>1.489188</v>
      </c>
      <c r="E335" s="3"/>
    </row>
    <row r="336" spans="2:5" ht="13.25" customHeight="1">
      <c r="B336" s="203">
        <v>41480</v>
      </c>
      <c r="C336" s="202">
        <v>2.5413519999999998</v>
      </c>
      <c r="D336" s="202">
        <v>1.177778</v>
      </c>
      <c r="E336" s="3"/>
    </row>
    <row r="337" spans="2:5" ht="13.25" customHeight="1">
      <c r="B337" s="203">
        <v>41481</v>
      </c>
      <c r="C337" s="202">
        <v>2.5235340000000002</v>
      </c>
      <c r="D337" s="202">
        <v>1.0445599999999999</v>
      </c>
      <c r="E337" s="3"/>
    </row>
    <row r="338" spans="2:5" ht="13.25" customHeight="1">
      <c r="B338" s="203">
        <v>41484</v>
      </c>
      <c r="C338" s="202">
        <v>2.5480339999999999</v>
      </c>
      <c r="D338" s="202">
        <v>1.798122</v>
      </c>
      <c r="E338" s="3"/>
    </row>
    <row r="339" spans="2:5" ht="13.25" customHeight="1">
      <c r="B339" s="203">
        <v>41485</v>
      </c>
      <c r="C339" s="202">
        <v>2.599262</v>
      </c>
      <c r="D339" s="202">
        <v>1.614358</v>
      </c>
      <c r="E339" s="3"/>
    </row>
    <row r="340" spans="2:5" ht="13.25" customHeight="1">
      <c r="B340" s="203">
        <v>41486</v>
      </c>
      <c r="C340" s="202">
        <v>2.5881259999999999</v>
      </c>
      <c r="D340" s="202">
        <v>1.481644</v>
      </c>
      <c r="E340" s="3"/>
    </row>
    <row r="341" spans="2:5" ht="13.25" customHeight="1">
      <c r="B341" s="203">
        <v>41487</v>
      </c>
      <c r="C341" s="202">
        <v>2.6014900000000001</v>
      </c>
      <c r="D341" s="202">
        <v>1.8739479999999999</v>
      </c>
      <c r="E341" s="3"/>
    </row>
    <row r="342" spans="2:5" ht="13.25" customHeight="1">
      <c r="B342" s="203">
        <v>41488</v>
      </c>
      <c r="C342" s="202">
        <v>2.5747620000000002</v>
      </c>
      <c r="D342" s="202">
        <v>1.666552</v>
      </c>
      <c r="E342" s="3"/>
    </row>
    <row r="343" spans="2:5" ht="13.25" customHeight="1">
      <c r="B343" s="203">
        <v>41491</v>
      </c>
      <c r="C343" s="202">
        <v>2.6438079999999999</v>
      </c>
      <c r="D343" s="202">
        <v>4.0031800000000004</v>
      </c>
      <c r="E343" s="3"/>
    </row>
    <row r="344" spans="2:5" ht="13.25" customHeight="1">
      <c r="B344" s="203">
        <v>41492</v>
      </c>
      <c r="C344" s="202">
        <v>2.7529460000000001</v>
      </c>
      <c r="D344" s="202">
        <v>11.860253999999999</v>
      </c>
      <c r="E344" s="3"/>
    </row>
    <row r="345" spans="2:5" ht="13.25" customHeight="1">
      <c r="B345" s="203">
        <v>41493</v>
      </c>
      <c r="C345" s="202">
        <v>2.7351269999999999</v>
      </c>
      <c r="D345" s="202">
        <v>5.9244839999999996</v>
      </c>
      <c r="E345" s="3"/>
    </row>
    <row r="346" spans="2:5" ht="13.25" customHeight="1">
      <c r="B346" s="203">
        <v>41494</v>
      </c>
      <c r="C346" s="202">
        <v>2.7262179999999998</v>
      </c>
      <c r="D346" s="202">
        <v>2.1478440000000001</v>
      </c>
      <c r="E346" s="3"/>
    </row>
    <row r="347" spans="2:5" ht="13.25" customHeight="1">
      <c r="B347" s="203">
        <v>41495</v>
      </c>
      <c r="C347" s="202">
        <v>2.7150820000000002</v>
      </c>
      <c r="D347" s="202">
        <v>1.258462</v>
      </c>
      <c r="E347" s="3"/>
    </row>
    <row r="348" spans="2:5" ht="13.25" customHeight="1">
      <c r="B348" s="203">
        <v>41498</v>
      </c>
      <c r="C348" s="202">
        <v>2.739582</v>
      </c>
      <c r="D348" s="202">
        <v>1.092198</v>
      </c>
      <c r="E348" s="3"/>
    </row>
    <row r="349" spans="2:5" ht="13.25" customHeight="1">
      <c r="B349" s="203">
        <v>41499</v>
      </c>
      <c r="C349" s="202">
        <v>2.7596280000000002</v>
      </c>
      <c r="D349" s="202">
        <v>2.3037580000000002</v>
      </c>
      <c r="E349" s="3"/>
    </row>
    <row r="350" spans="2:5" ht="13.25" customHeight="1">
      <c r="B350" s="203">
        <v>41500</v>
      </c>
      <c r="C350" s="202">
        <v>2.7707649999999999</v>
      </c>
      <c r="D350" s="202">
        <v>1.6554260000000001</v>
      </c>
      <c r="E350" s="3"/>
    </row>
    <row r="351" spans="2:5" ht="13.25" customHeight="1">
      <c r="B351" s="203">
        <v>41502</v>
      </c>
      <c r="C351" s="202">
        <v>2.779674</v>
      </c>
      <c r="D351" s="202">
        <v>1.7984439999999999</v>
      </c>
      <c r="E351" s="3"/>
    </row>
    <row r="352" spans="2:5" ht="13.25" customHeight="1">
      <c r="B352" s="203">
        <v>41505</v>
      </c>
      <c r="C352" s="202">
        <v>2.7551739999999998</v>
      </c>
      <c r="D352" s="202">
        <v>1.9038900000000001</v>
      </c>
      <c r="E352" s="3"/>
    </row>
    <row r="353" spans="2:5" ht="13.25" customHeight="1">
      <c r="B353" s="203">
        <v>41506</v>
      </c>
      <c r="C353" s="202">
        <v>2.7017180000000001</v>
      </c>
      <c r="D353" s="202">
        <v>1.8167279999999999</v>
      </c>
      <c r="E353" s="3"/>
    </row>
    <row r="354" spans="2:5" ht="13.25" customHeight="1">
      <c r="B354" s="203">
        <v>41507</v>
      </c>
      <c r="C354" s="202">
        <v>2.6705359999999998</v>
      </c>
      <c r="D354" s="202">
        <v>1.3652420000000001</v>
      </c>
      <c r="E354" s="3"/>
    </row>
    <row r="355" spans="2:5" ht="13.25" customHeight="1">
      <c r="B355" s="203">
        <v>41508</v>
      </c>
      <c r="C355" s="202">
        <v>2.7351269999999999</v>
      </c>
      <c r="D355" s="202">
        <v>1.574854</v>
      </c>
      <c r="E355" s="3"/>
    </row>
    <row r="356" spans="2:5" ht="13.25" customHeight="1">
      <c r="B356" s="203">
        <v>41509</v>
      </c>
      <c r="C356" s="202">
        <v>2.7128549999999998</v>
      </c>
      <c r="D356" s="202">
        <v>0.95640599999999998</v>
      </c>
      <c r="E356" s="3"/>
    </row>
    <row r="357" spans="2:5" ht="13.25" customHeight="1">
      <c r="B357" s="203">
        <v>41512</v>
      </c>
      <c r="C357" s="202">
        <v>2.6683080000000001</v>
      </c>
      <c r="D357" s="202">
        <v>0.65950799999999998</v>
      </c>
      <c r="E357" s="3"/>
    </row>
    <row r="358" spans="2:5" ht="13.25" customHeight="1">
      <c r="B358" s="203">
        <v>41513</v>
      </c>
      <c r="C358" s="202">
        <v>2.65049</v>
      </c>
      <c r="D358" s="202">
        <v>1.3888419999999999</v>
      </c>
      <c r="E358" s="3"/>
    </row>
    <row r="359" spans="2:5" ht="13.25" customHeight="1">
      <c r="B359" s="203">
        <v>41514</v>
      </c>
      <c r="C359" s="202">
        <v>2.690582</v>
      </c>
      <c r="D359" s="202">
        <v>1.40032</v>
      </c>
      <c r="E359" s="3"/>
    </row>
    <row r="360" spans="2:5" ht="13.25" customHeight="1">
      <c r="B360" s="203">
        <v>41515</v>
      </c>
      <c r="C360" s="202">
        <v>2.697263</v>
      </c>
      <c r="D360" s="202">
        <v>1.267978</v>
      </c>
      <c r="E360" s="3"/>
    </row>
    <row r="361" spans="2:5" ht="13.25" customHeight="1">
      <c r="B361" s="203">
        <v>41516</v>
      </c>
      <c r="C361" s="202">
        <v>2.6727630000000002</v>
      </c>
      <c r="D361" s="202">
        <v>1.333172</v>
      </c>
      <c r="E361" s="3"/>
    </row>
    <row r="362" spans="2:5" ht="13.25" customHeight="1">
      <c r="B362" s="203">
        <v>41519</v>
      </c>
      <c r="C362" s="202">
        <v>2.7061730000000002</v>
      </c>
      <c r="D362" s="202">
        <v>1.364168</v>
      </c>
      <c r="E362" s="3"/>
    </row>
    <row r="363" spans="2:5" ht="13.25" customHeight="1">
      <c r="B363" s="203">
        <v>41520</v>
      </c>
      <c r="C363" s="202">
        <v>2.7039460000000002</v>
      </c>
      <c r="D363" s="202">
        <v>1.2416940000000001</v>
      </c>
      <c r="E363" s="3"/>
    </row>
    <row r="364" spans="2:5" ht="13.25" customHeight="1">
      <c r="B364" s="203">
        <v>41521</v>
      </c>
      <c r="C364" s="202">
        <v>2.641581</v>
      </c>
      <c r="D364" s="202">
        <v>1.8111280000000001</v>
      </c>
      <c r="E364" s="3"/>
    </row>
    <row r="365" spans="2:5" ht="13.25" customHeight="1">
      <c r="B365" s="203">
        <v>41522</v>
      </c>
      <c r="C365" s="202">
        <v>2.7084000000000001</v>
      </c>
      <c r="D365" s="202">
        <v>1.0819479999999999</v>
      </c>
      <c r="E365" s="3"/>
    </row>
    <row r="366" spans="2:5" ht="13.25" customHeight="1">
      <c r="B366" s="203">
        <v>41523</v>
      </c>
      <c r="C366" s="202">
        <v>2.7574010000000002</v>
      </c>
      <c r="D366" s="202">
        <v>3.1067580000000001</v>
      </c>
      <c r="E366" s="3"/>
    </row>
    <row r="367" spans="2:5" ht="13.25" customHeight="1">
      <c r="B367" s="203">
        <v>41526</v>
      </c>
      <c r="C367" s="202">
        <v>2.7752189999999999</v>
      </c>
      <c r="D367" s="202">
        <v>1.3533919999999999</v>
      </c>
      <c r="E367" s="3"/>
    </row>
    <row r="368" spans="2:5" ht="13.25" customHeight="1">
      <c r="B368" s="203">
        <v>41527</v>
      </c>
      <c r="C368" s="202">
        <v>2.8153100000000002</v>
      </c>
      <c r="D368" s="202">
        <v>3.680828</v>
      </c>
      <c r="E368" s="3"/>
    </row>
    <row r="369" spans="2:5" ht="13.25" customHeight="1">
      <c r="B369" s="203">
        <v>41528</v>
      </c>
      <c r="C369" s="202">
        <v>2.8398110000000001</v>
      </c>
      <c r="D369" s="202">
        <v>2.1839200000000001</v>
      </c>
      <c r="E369" s="3"/>
    </row>
    <row r="370" spans="2:5" ht="13.25" customHeight="1">
      <c r="B370" s="203">
        <v>41529</v>
      </c>
      <c r="C370" s="202">
        <v>2.8665389999999999</v>
      </c>
      <c r="D370" s="202">
        <v>1.923438</v>
      </c>
      <c r="E370" s="3"/>
    </row>
    <row r="371" spans="2:5" ht="13.25" customHeight="1">
      <c r="B371" s="203">
        <v>41530</v>
      </c>
      <c r="C371" s="202">
        <v>2.8821300000000001</v>
      </c>
      <c r="D371" s="202">
        <v>1.3519920000000001</v>
      </c>
      <c r="E371" s="3"/>
    </row>
    <row r="372" spans="2:5" ht="13.25" customHeight="1">
      <c r="B372" s="203">
        <v>41533</v>
      </c>
      <c r="C372" s="202">
        <v>2.9400390000000001</v>
      </c>
      <c r="D372" s="202">
        <v>1.6932720000000001</v>
      </c>
      <c r="E372" s="3"/>
    </row>
    <row r="373" spans="2:5" ht="13.25" customHeight="1">
      <c r="B373" s="203">
        <v>41534</v>
      </c>
      <c r="C373" s="202">
        <v>2.9556309999999999</v>
      </c>
      <c r="D373" s="202">
        <v>2.3396080000000001</v>
      </c>
      <c r="E373" s="3"/>
    </row>
    <row r="374" spans="2:5" ht="13.25" customHeight="1">
      <c r="B374" s="203">
        <v>41535</v>
      </c>
      <c r="C374" s="202">
        <v>2.8643109999999998</v>
      </c>
      <c r="D374" s="202">
        <v>2.984572</v>
      </c>
      <c r="E374" s="3"/>
    </row>
    <row r="375" spans="2:5" ht="13.25" customHeight="1">
      <c r="B375" s="203">
        <v>41536</v>
      </c>
      <c r="C375" s="202">
        <v>2.8442660000000002</v>
      </c>
      <c r="D375" s="202">
        <v>2.0502159999999998</v>
      </c>
      <c r="E375" s="3"/>
    </row>
    <row r="376" spans="2:5" ht="13.25" customHeight="1">
      <c r="B376" s="203">
        <v>41537</v>
      </c>
      <c r="C376" s="202">
        <v>2.8821300000000001</v>
      </c>
      <c r="D376" s="202">
        <v>2.8501319999999999</v>
      </c>
      <c r="E376" s="3"/>
    </row>
    <row r="377" spans="2:5" ht="13.25" customHeight="1">
      <c r="B377" s="203">
        <v>41540</v>
      </c>
      <c r="C377" s="202">
        <v>2.9177659999999999</v>
      </c>
      <c r="D377" s="202">
        <v>3.1496279999999999</v>
      </c>
      <c r="E377" s="3"/>
    </row>
    <row r="378" spans="2:5" ht="13.25" customHeight="1">
      <c r="B378" s="203">
        <v>41541</v>
      </c>
      <c r="C378" s="202">
        <v>2.919994</v>
      </c>
      <c r="D378" s="202">
        <v>2.5575839999999999</v>
      </c>
      <c r="E378" s="3"/>
    </row>
    <row r="379" spans="2:5" ht="13.25" customHeight="1">
      <c r="B379" s="203">
        <v>41542</v>
      </c>
      <c r="C379" s="202">
        <v>2.919994</v>
      </c>
      <c r="D379" s="202">
        <v>1.3318140000000001</v>
      </c>
      <c r="E379" s="3"/>
    </row>
    <row r="380" spans="2:5" ht="13.25" customHeight="1">
      <c r="B380" s="203">
        <v>41543</v>
      </c>
      <c r="C380" s="202">
        <v>2.8732199999999999</v>
      </c>
      <c r="D380" s="202">
        <v>1.9219539999999999</v>
      </c>
      <c r="E380" s="3"/>
    </row>
    <row r="381" spans="2:5" ht="13.25" customHeight="1">
      <c r="B381" s="203">
        <v>41544</v>
      </c>
      <c r="C381" s="202">
        <v>2.8487200000000001</v>
      </c>
      <c r="D381" s="202">
        <v>1.43547</v>
      </c>
      <c r="E381" s="3"/>
    </row>
    <row r="382" spans="2:5" ht="13.25" customHeight="1">
      <c r="B382" s="203">
        <v>41547</v>
      </c>
      <c r="C382" s="202">
        <v>2.8554020000000002</v>
      </c>
      <c r="D382" s="202">
        <v>4.8838460000000001</v>
      </c>
      <c r="E382" s="3"/>
    </row>
    <row r="383" spans="2:5" ht="13.25" customHeight="1">
      <c r="B383" s="203">
        <v>41548</v>
      </c>
      <c r="C383" s="202">
        <v>2.879902</v>
      </c>
      <c r="D383" s="202">
        <v>2.2506979999999999</v>
      </c>
      <c r="E383" s="3"/>
    </row>
    <row r="384" spans="2:5" ht="13.25" customHeight="1">
      <c r="B384" s="203">
        <v>41549</v>
      </c>
      <c r="C384" s="202">
        <v>2.8932660000000001</v>
      </c>
      <c r="D384" s="202">
        <v>1.61151</v>
      </c>
      <c r="E384" s="3"/>
    </row>
    <row r="385" spans="2:5" ht="13.25" customHeight="1">
      <c r="B385" s="203">
        <v>41550</v>
      </c>
      <c r="C385" s="202">
        <v>2.8999480000000002</v>
      </c>
      <c r="D385" s="202">
        <v>1.744588</v>
      </c>
      <c r="E385" s="3"/>
    </row>
    <row r="386" spans="2:5" ht="13.25" customHeight="1">
      <c r="B386" s="203">
        <v>41551</v>
      </c>
      <c r="C386" s="202">
        <v>2.93113</v>
      </c>
      <c r="D386" s="202">
        <v>2.24823</v>
      </c>
      <c r="E386" s="3"/>
    </row>
    <row r="387" spans="2:5" ht="13.25" customHeight="1">
      <c r="B387" s="203">
        <v>41554</v>
      </c>
      <c r="C387" s="202">
        <v>2.8754469999999999</v>
      </c>
      <c r="D387" s="202">
        <v>2.392204</v>
      </c>
      <c r="E387" s="3"/>
    </row>
    <row r="388" spans="2:5" ht="13.25" customHeight="1">
      <c r="B388" s="203">
        <v>41555</v>
      </c>
      <c r="C388" s="202">
        <v>2.8999480000000002</v>
      </c>
      <c r="D388" s="202">
        <v>1.652072</v>
      </c>
      <c r="E388" s="3"/>
    </row>
    <row r="389" spans="2:5" ht="13.25" customHeight="1">
      <c r="B389" s="203">
        <v>41556</v>
      </c>
      <c r="C389" s="202">
        <v>2.9133110000000002</v>
      </c>
      <c r="D389" s="202">
        <v>1.04531</v>
      </c>
      <c r="E389" s="3"/>
    </row>
    <row r="390" spans="2:5" ht="13.25" customHeight="1">
      <c r="B390" s="203">
        <v>41557</v>
      </c>
      <c r="C390" s="202">
        <v>2.8932660000000001</v>
      </c>
      <c r="D390" s="202">
        <v>1.03965</v>
      </c>
      <c r="E390" s="3"/>
    </row>
    <row r="391" spans="2:5" ht="13.25" customHeight="1">
      <c r="B391" s="203">
        <v>41558</v>
      </c>
      <c r="C391" s="202">
        <v>2.8509479999999998</v>
      </c>
      <c r="D391" s="202">
        <v>2.5988479999999998</v>
      </c>
      <c r="E391" s="3"/>
    </row>
    <row r="392" spans="2:5" ht="13.25" customHeight="1">
      <c r="B392" s="203">
        <v>41561</v>
      </c>
      <c r="C392" s="202">
        <v>2.8531740000000001</v>
      </c>
      <c r="D392" s="202">
        <v>1.603448</v>
      </c>
      <c r="E392" s="3"/>
    </row>
    <row r="393" spans="2:5" ht="13.25" customHeight="1">
      <c r="B393" s="203">
        <v>41562</v>
      </c>
      <c r="C393" s="202">
        <v>2.877675</v>
      </c>
      <c r="D393" s="202">
        <v>1.5019439999999999</v>
      </c>
      <c r="E393" s="3"/>
    </row>
    <row r="394" spans="2:5" ht="13.25" customHeight="1">
      <c r="B394" s="203">
        <v>41563</v>
      </c>
      <c r="C394" s="202">
        <v>2.879902</v>
      </c>
      <c r="D394" s="202">
        <v>1.70581</v>
      </c>
      <c r="E394" s="3"/>
    </row>
    <row r="395" spans="2:5" ht="13.25" customHeight="1">
      <c r="B395" s="203">
        <v>41564</v>
      </c>
      <c r="C395" s="202">
        <v>2.8732199999999999</v>
      </c>
      <c r="D395" s="202">
        <v>1.3598060000000001</v>
      </c>
      <c r="E395" s="3"/>
    </row>
    <row r="396" spans="2:5" ht="13.25" customHeight="1">
      <c r="B396" s="203">
        <v>41565</v>
      </c>
      <c r="C396" s="202">
        <v>2.879902</v>
      </c>
      <c r="D396" s="202">
        <v>1.75356</v>
      </c>
      <c r="E396" s="3"/>
    </row>
    <row r="397" spans="2:5" ht="13.25" customHeight="1">
      <c r="B397" s="203">
        <v>41568</v>
      </c>
      <c r="C397" s="202">
        <v>2.8665389999999999</v>
      </c>
      <c r="D397" s="202">
        <v>1.6574500000000001</v>
      </c>
      <c r="E397" s="3"/>
    </row>
    <row r="398" spans="2:5" ht="13.25" customHeight="1">
      <c r="B398" s="203">
        <v>41569</v>
      </c>
      <c r="C398" s="202">
        <v>2.9044020000000002</v>
      </c>
      <c r="D398" s="202">
        <v>3.2743899999999999</v>
      </c>
      <c r="E398" s="3"/>
    </row>
    <row r="399" spans="2:5" ht="13.25" customHeight="1">
      <c r="B399" s="203">
        <v>41570</v>
      </c>
      <c r="C399" s="202">
        <v>2.830902</v>
      </c>
      <c r="D399" s="202">
        <v>3.8612739999999999</v>
      </c>
      <c r="E399" s="3"/>
    </row>
    <row r="400" spans="2:5" ht="13.25" customHeight="1">
      <c r="B400" s="203">
        <v>41571</v>
      </c>
      <c r="C400" s="202">
        <v>2.8286750000000001</v>
      </c>
      <c r="D400" s="202">
        <v>6.6236680000000003</v>
      </c>
      <c r="E400" s="3"/>
    </row>
    <row r="401" spans="2:5" ht="13.25" customHeight="1">
      <c r="B401" s="203">
        <v>41572</v>
      </c>
      <c r="C401" s="202">
        <v>2.7974920000000001</v>
      </c>
      <c r="D401" s="202">
        <v>2.2421679999999999</v>
      </c>
      <c r="E401" s="3"/>
    </row>
    <row r="402" spans="2:5" ht="13.25" customHeight="1">
      <c r="B402" s="203">
        <v>41575</v>
      </c>
      <c r="C402" s="202">
        <v>2.8197649999999999</v>
      </c>
      <c r="D402" s="202">
        <v>1.9852719999999999</v>
      </c>
      <c r="E402" s="3"/>
    </row>
    <row r="403" spans="2:5" ht="13.25" customHeight="1">
      <c r="B403" s="203">
        <v>41576</v>
      </c>
      <c r="C403" s="202">
        <v>2.8954939999999998</v>
      </c>
      <c r="D403" s="202">
        <v>3.8971719999999999</v>
      </c>
      <c r="E403" s="3"/>
    </row>
    <row r="404" spans="2:5" ht="13.25" customHeight="1">
      <c r="B404" s="203">
        <v>41577</v>
      </c>
      <c r="C404" s="202">
        <v>2.8442660000000002</v>
      </c>
      <c r="D404" s="202">
        <v>1.0258659999999999</v>
      </c>
      <c r="E404" s="3"/>
    </row>
    <row r="405" spans="2:5" ht="13.25" customHeight="1">
      <c r="B405" s="203">
        <v>41578</v>
      </c>
      <c r="C405" s="202">
        <v>2.8598569999999999</v>
      </c>
      <c r="D405" s="202">
        <v>2.050818</v>
      </c>
      <c r="E405" s="3"/>
    </row>
    <row r="406" spans="2:5" ht="13.25" customHeight="1">
      <c r="B406" s="203">
        <v>41579</v>
      </c>
      <c r="C406" s="202">
        <v>2.8420380000000001</v>
      </c>
      <c r="D406" s="202">
        <v>1.0299700000000001</v>
      </c>
      <c r="E406" s="3"/>
    </row>
    <row r="407" spans="2:5" ht="13.25" customHeight="1">
      <c r="B407" s="203">
        <v>41582</v>
      </c>
      <c r="C407" s="202">
        <v>2.8531740000000001</v>
      </c>
      <c r="D407" s="202">
        <v>1.3306039999999999</v>
      </c>
      <c r="E407" s="3"/>
    </row>
    <row r="408" spans="2:5" ht="13.25" customHeight="1">
      <c r="B408" s="203">
        <v>41583</v>
      </c>
      <c r="C408" s="202">
        <v>2.8420380000000001</v>
      </c>
      <c r="D408" s="202">
        <v>2.8083480000000001</v>
      </c>
      <c r="E408" s="3"/>
    </row>
    <row r="409" spans="2:5" ht="13.25" customHeight="1">
      <c r="B409" s="203">
        <v>41584</v>
      </c>
      <c r="C409" s="202">
        <v>2.8420380000000001</v>
      </c>
      <c r="D409" s="202">
        <v>1.2457560000000001</v>
      </c>
      <c r="E409" s="3"/>
    </row>
    <row r="410" spans="2:5" ht="13.25" customHeight="1">
      <c r="B410" s="203">
        <v>41585</v>
      </c>
      <c r="C410" s="202">
        <v>2.8175379999999999</v>
      </c>
      <c r="D410" s="202">
        <v>2.3176580000000002</v>
      </c>
      <c r="E410" s="3"/>
    </row>
    <row r="411" spans="2:5" ht="13.25" customHeight="1">
      <c r="B411" s="203">
        <v>41586</v>
      </c>
      <c r="C411" s="202">
        <v>2.8264469999999999</v>
      </c>
      <c r="D411" s="202">
        <v>2.430688</v>
      </c>
      <c r="E411" s="3"/>
    </row>
    <row r="412" spans="2:5" ht="13.25" customHeight="1">
      <c r="B412" s="203">
        <v>41589</v>
      </c>
      <c r="C412" s="202">
        <v>2.8554020000000002</v>
      </c>
      <c r="D412" s="202">
        <v>1.7160500000000001</v>
      </c>
      <c r="E412" s="3"/>
    </row>
    <row r="413" spans="2:5" ht="13.25" customHeight="1">
      <c r="B413" s="203">
        <v>41590</v>
      </c>
      <c r="C413" s="202">
        <v>2.8442660000000002</v>
      </c>
      <c r="D413" s="202">
        <v>1.6854180000000001</v>
      </c>
      <c r="E413" s="3"/>
    </row>
    <row r="414" spans="2:5" ht="13.25" customHeight="1">
      <c r="B414" s="203">
        <v>41591</v>
      </c>
      <c r="C414" s="202">
        <v>2.8509479999999998</v>
      </c>
      <c r="D414" s="202">
        <v>1.956288</v>
      </c>
      <c r="E414" s="3"/>
    </row>
    <row r="415" spans="2:5" ht="13.25" customHeight="1">
      <c r="B415" s="203">
        <v>41592</v>
      </c>
      <c r="C415" s="202">
        <v>2.7663099999999998</v>
      </c>
      <c r="D415" s="202">
        <v>6.7112660000000002</v>
      </c>
      <c r="E415" s="3"/>
    </row>
    <row r="416" spans="2:5" ht="13.25" customHeight="1">
      <c r="B416" s="203">
        <v>41593</v>
      </c>
      <c r="C416" s="202">
        <v>2.739582</v>
      </c>
      <c r="D416" s="202">
        <v>2.26363</v>
      </c>
      <c r="E416" s="3"/>
    </row>
    <row r="417" spans="2:5" ht="13.25" customHeight="1">
      <c r="B417" s="203">
        <v>41596</v>
      </c>
      <c r="C417" s="202">
        <v>2.7663099999999998</v>
      </c>
      <c r="D417" s="202">
        <v>3.798934</v>
      </c>
      <c r="E417" s="3"/>
    </row>
    <row r="418" spans="2:5" ht="13.25" customHeight="1">
      <c r="B418" s="203">
        <v>41597</v>
      </c>
      <c r="C418" s="202">
        <v>2.7173090000000002</v>
      </c>
      <c r="D418" s="202">
        <v>2.2672859999999999</v>
      </c>
      <c r="E418" s="3"/>
    </row>
    <row r="419" spans="2:5" ht="13.25" customHeight="1">
      <c r="B419" s="203">
        <v>41598</v>
      </c>
      <c r="C419" s="202">
        <v>2.7150820000000002</v>
      </c>
      <c r="D419" s="202">
        <v>1.4590000000000001</v>
      </c>
      <c r="E419" s="3"/>
    </row>
    <row r="420" spans="2:5" ht="13.25" customHeight="1">
      <c r="B420" s="203">
        <v>41599</v>
      </c>
      <c r="C420" s="202">
        <v>2.6994910000000001</v>
      </c>
      <c r="D420" s="202">
        <v>2.6721539999999999</v>
      </c>
      <c r="E420" s="3"/>
    </row>
    <row r="421" spans="2:5" ht="13.25" customHeight="1">
      <c r="B421" s="203">
        <v>41600</v>
      </c>
      <c r="C421" s="202">
        <v>2.6794449999999999</v>
      </c>
      <c r="D421" s="202">
        <v>1.310038</v>
      </c>
      <c r="E421" s="3"/>
    </row>
    <row r="422" spans="2:5" ht="13.25" customHeight="1">
      <c r="B422" s="203">
        <v>41603</v>
      </c>
      <c r="C422" s="202">
        <v>2.6994910000000001</v>
      </c>
      <c r="D422" s="202">
        <v>1.015898</v>
      </c>
      <c r="E422" s="3"/>
    </row>
    <row r="423" spans="2:5" ht="13.25" customHeight="1">
      <c r="B423" s="203">
        <v>41604</v>
      </c>
      <c r="C423" s="202">
        <v>2.6838989999999998</v>
      </c>
      <c r="D423" s="202">
        <v>1.754896</v>
      </c>
      <c r="E423" s="3"/>
    </row>
    <row r="424" spans="2:5" ht="13.25" customHeight="1">
      <c r="B424" s="203">
        <v>41605</v>
      </c>
      <c r="C424" s="202">
        <v>2.681673</v>
      </c>
      <c r="D424" s="202">
        <v>1.5288839999999999</v>
      </c>
      <c r="E424" s="3"/>
    </row>
    <row r="425" spans="2:5" ht="13.25" customHeight="1">
      <c r="B425" s="203">
        <v>41606</v>
      </c>
      <c r="C425" s="202">
        <v>2.6348989999999999</v>
      </c>
      <c r="D425" s="202">
        <v>4.5186479999999998</v>
      </c>
      <c r="E425" s="3"/>
    </row>
    <row r="426" spans="2:5" ht="13.25" customHeight="1">
      <c r="B426" s="203">
        <v>41607</v>
      </c>
      <c r="C426" s="202">
        <v>2.641581</v>
      </c>
      <c r="D426" s="202">
        <v>3.6487639999999999</v>
      </c>
      <c r="E426" s="3"/>
    </row>
    <row r="427" spans="2:5" ht="13.25" customHeight="1">
      <c r="B427" s="203">
        <v>41610</v>
      </c>
      <c r="C427" s="202">
        <v>2.6037170000000001</v>
      </c>
      <c r="D427" s="202">
        <v>3.2842880000000001</v>
      </c>
      <c r="E427" s="3"/>
    </row>
    <row r="428" spans="2:5" ht="13.25" customHeight="1">
      <c r="B428" s="203">
        <v>41611</v>
      </c>
      <c r="C428" s="202">
        <v>2.5480339999999999</v>
      </c>
      <c r="D428" s="202">
        <v>2.9424239999999999</v>
      </c>
      <c r="E428" s="3"/>
    </row>
    <row r="429" spans="2:5" ht="13.25" customHeight="1">
      <c r="B429" s="203">
        <v>41612</v>
      </c>
      <c r="C429" s="202">
        <v>2.5613980000000001</v>
      </c>
      <c r="D429" s="202">
        <v>5.0214740000000004</v>
      </c>
      <c r="E429" s="3"/>
    </row>
    <row r="430" spans="2:5" ht="13.25" customHeight="1">
      <c r="B430" s="203">
        <v>41613</v>
      </c>
      <c r="C430" s="202">
        <v>2.5613980000000001</v>
      </c>
      <c r="D430" s="202">
        <v>3.5007920000000001</v>
      </c>
      <c r="E430" s="3"/>
    </row>
    <row r="431" spans="2:5" ht="13.25" customHeight="1">
      <c r="B431" s="203">
        <v>41614</v>
      </c>
      <c r="C431" s="202">
        <v>2.599262</v>
      </c>
      <c r="D431" s="202">
        <v>2.2696519999999998</v>
      </c>
      <c r="E431" s="3"/>
    </row>
    <row r="432" spans="2:5" ht="13.25" customHeight="1">
      <c r="B432" s="203">
        <v>41617</v>
      </c>
      <c r="C432" s="202">
        <v>2.6170810000000002</v>
      </c>
      <c r="D432" s="202">
        <v>1.137494</v>
      </c>
      <c r="E432" s="3"/>
    </row>
    <row r="433" spans="2:5" ht="13.25" customHeight="1">
      <c r="B433" s="203">
        <v>41618</v>
      </c>
      <c r="C433" s="202">
        <v>2.5814439999999998</v>
      </c>
      <c r="D433" s="202">
        <v>1.553442</v>
      </c>
      <c r="E433" s="3"/>
    </row>
    <row r="434" spans="2:5" ht="13.25" customHeight="1">
      <c r="B434" s="203">
        <v>41619</v>
      </c>
      <c r="C434" s="202">
        <v>2.5747620000000002</v>
      </c>
      <c r="D434" s="202">
        <v>1.66747</v>
      </c>
      <c r="E434" s="3"/>
    </row>
    <row r="435" spans="2:5" ht="13.25" customHeight="1">
      <c r="B435" s="203">
        <v>41620</v>
      </c>
      <c r="C435" s="202">
        <v>2.5257610000000001</v>
      </c>
      <c r="D435" s="202">
        <v>1.4241839999999999</v>
      </c>
      <c r="E435" s="3"/>
    </row>
    <row r="436" spans="2:5" ht="13.25" customHeight="1">
      <c r="B436" s="203">
        <v>41621</v>
      </c>
      <c r="C436" s="202">
        <v>2.5769890000000002</v>
      </c>
      <c r="D436" s="202">
        <v>1.800778</v>
      </c>
      <c r="E436" s="3"/>
    </row>
    <row r="437" spans="2:5" ht="13.25" customHeight="1">
      <c r="B437" s="203">
        <v>41624</v>
      </c>
      <c r="C437" s="202">
        <v>2.6259899999999998</v>
      </c>
      <c r="D437" s="202">
        <v>2.1168999999999998</v>
      </c>
      <c r="E437" s="3"/>
    </row>
    <row r="438" spans="2:5" ht="13.25" customHeight="1">
      <c r="B438" s="203">
        <v>41625</v>
      </c>
      <c r="C438" s="202">
        <v>2.599262</v>
      </c>
      <c r="D438" s="202">
        <v>1.6725859999999999</v>
      </c>
      <c r="E438" s="3"/>
    </row>
    <row r="439" spans="2:5" ht="13.25" customHeight="1">
      <c r="B439" s="203">
        <v>41626</v>
      </c>
      <c r="C439" s="202">
        <v>2.6282169999999998</v>
      </c>
      <c r="D439" s="202">
        <v>2.2754120000000002</v>
      </c>
      <c r="E439" s="3"/>
    </row>
    <row r="440" spans="2:5" ht="13.25" customHeight="1">
      <c r="B440" s="203">
        <v>41627</v>
      </c>
      <c r="C440" s="202">
        <v>2.6549450000000001</v>
      </c>
      <c r="D440" s="202">
        <v>1.9282459999999999</v>
      </c>
      <c r="E440" s="3"/>
    </row>
    <row r="441" spans="2:5" ht="13.25" customHeight="1">
      <c r="B441" s="203">
        <v>41628</v>
      </c>
      <c r="C441" s="202">
        <v>2.6571720000000001</v>
      </c>
      <c r="D441" s="202">
        <v>2.0296099999999999</v>
      </c>
      <c r="E441" s="3"/>
    </row>
    <row r="442" spans="2:5" ht="13.25" customHeight="1">
      <c r="B442" s="203">
        <v>41631</v>
      </c>
      <c r="C442" s="202">
        <v>2.6683080000000001</v>
      </c>
      <c r="D442" s="202">
        <v>0.87182800000000005</v>
      </c>
      <c r="E442" s="3"/>
    </row>
    <row r="443" spans="2:5" ht="13.25" customHeight="1">
      <c r="B443" s="203">
        <v>41635</v>
      </c>
      <c r="C443" s="202">
        <v>2.6772179999999999</v>
      </c>
      <c r="D443" s="202">
        <v>1.8401259999999999</v>
      </c>
      <c r="E443" s="3"/>
    </row>
    <row r="444" spans="2:5" ht="13.25" customHeight="1">
      <c r="B444" s="203">
        <v>41638</v>
      </c>
      <c r="C444" s="202">
        <v>2.7084000000000001</v>
      </c>
      <c r="D444" s="202">
        <v>1.28325</v>
      </c>
      <c r="E444" s="3"/>
    </row>
    <row r="445" spans="2:5" ht="13.25" customHeight="1">
      <c r="B445" s="203">
        <v>41641</v>
      </c>
      <c r="C445" s="202">
        <v>2.7017180000000001</v>
      </c>
      <c r="D445" s="202">
        <v>1.638066</v>
      </c>
      <c r="E445" s="3"/>
    </row>
    <row r="446" spans="2:5" ht="13.25" customHeight="1">
      <c r="B446" s="203">
        <v>41642</v>
      </c>
      <c r="C446" s="202">
        <v>2.7173090000000002</v>
      </c>
      <c r="D446" s="202">
        <v>1.1873480000000001</v>
      </c>
      <c r="E446" s="3"/>
    </row>
    <row r="447" spans="2:5" ht="13.25" customHeight="1">
      <c r="B447" s="203">
        <v>41645</v>
      </c>
      <c r="C447" s="202">
        <v>2.7239909999999998</v>
      </c>
      <c r="D447" s="202">
        <v>1.1456500000000001</v>
      </c>
      <c r="E447" s="3"/>
    </row>
    <row r="448" spans="2:5" ht="13.25" customHeight="1">
      <c r="B448" s="203">
        <v>41646</v>
      </c>
      <c r="C448" s="202">
        <v>2.7173090000000002</v>
      </c>
      <c r="D448" s="202">
        <v>1.871888</v>
      </c>
      <c r="E448" s="3"/>
    </row>
    <row r="449" spans="2:5" ht="13.25" customHeight="1">
      <c r="B449" s="203">
        <v>41647</v>
      </c>
      <c r="C449" s="202">
        <v>2.6749900000000002</v>
      </c>
      <c r="D449" s="202">
        <v>1.8978120000000001</v>
      </c>
      <c r="E449" s="3"/>
    </row>
    <row r="450" spans="2:5" ht="13.25" customHeight="1">
      <c r="B450" s="203">
        <v>41648</v>
      </c>
      <c r="C450" s="202">
        <v>2.7106270000000001</v>
      </c>
      <c r="D450" s="202">
        <v>2.029522</v>
      </c>
      <c r="E450" s="3"/>
    </row>
    <row r="451" spans="2:5" ht="13.25" customHeight="1">
      <c r="B451" s="203">
        <v>41649</v>
      </c>
      <c r="C451" s="202">
        <v>2.7484920000000002</v>
      </c>
      <c r="D451" s="202">
        <v>2.5207480000000002</v>
      </c>
      <c r="E451" s="3"/>
    </row>
    <row r="452" spans="2:5" ht="13.25" customHeight="1">
      <c r="B452" s="203">
        <v>41652</v>
      </c>
      <c r="C452" s="202">
        <v>2.8108559999999998</v>
      </c>
      <c r="D452" s="202">
        <v>5.8524419999999999</v>
      </c>
      <c r="E452" s="3"/>
    </row>
    <row r="453" spans="2:5" ht="13.25" customHeight="1">
      <c r="B453" s="203">
        <v>41653</v>
      </c>
      <c r="C453" s="202">
        <v>2.795264</v>
      </c>
      <c r="D453" s="202">
        <v>2.3994219999999999</v>
      </c>
      <c r="E453" s="3"/>
    </row>
    <row r="454" spans="2:5" ht="13.25" customHeight="1">
      <c r="B454" s="203">
        <v>41654</v>
      </c>
      <c r="C454" s="202">
        <v>2.7618550000000002</v>
      </c>
      <c r="D454" s="202">
        <v>2.0547019999999998</v>
      </c>
      <c r="E454" s="3"/>
    </row>
    <row r="455" spans="2:5" ht="13.25" customHeight="1">
      <c r="B455" s="203">
        <v>41655</v>
      </c>
      <c r="C455" s="202">
        <v>2.7596280000000002</v>
      </c>
      <c r="D455" s="202">
        <v>2.1912440000000002</v>
      </c>
      <c r="E455" s="3"/>
    </row>
    <row r="456" spans="2:5" ht="13.25" customHeight="1">
      <c r="B456" s="203">
        <v>41656</v>
      </c>
      <c r="C456" s="202">
        <v>2.7707649999999999</v>
      </c>
      <c r="D456" s="202">
        <v>1.129712</v>
      </c>
      <c r="E456" s="3"/>
    </row>
    <row r="457" spans="2:5" ht="13.25" customHeight="1">
      <c r="B457" s="203">
        <v>41659</v>
      </c>
      <c r="C457" s="202">
        <v>2.7752189999999999</v>
      </c>
      <c r="D457" s="202">
        <v>0.78850200000000004</v>
      </c>
      <c r="E457" s="3"/>
    </row>
    <row r="458" spans="2:5" ht="13.25" customHeight="1">
      <c r="B458" s="203">
        <v>41660</v>
      </c>
      <c r="C458" s="202">
        <v>2.7707649999999999</v>
      </c>
      <c r="D458" s="202">
        <v>3.4227059999999998</v>
      </c>
      <c r="E458" s="3"/>
    </row>
    <row r="459" spans="2:5" ht="13.25" customHeight="1">
      <c r="B459" s="203">
        <v>41661</v>
      </c>
      <c r="C459" s="202">
        <v>2.7685369999999998</v>
      </c>
      <c r="D459" s="202">
        <v>1.4269940000000001</v>
      </c>
      <c r="E459" s="3"/>
    </row>
    <row r="460" spans="2:5" ht="13.25" customHeight="1">
      <c r="B460" s="203">
        <v>41662</v>
      </c>
      <c r="C460" s="202">
        <v>2.739582</v>
      </c>
      <c r="D460" s="202">
        <v>1.6652940000000001</v>
      </c>
      <c r="E460" s="3"/>
    </row>
    <row r="461" spans="2:5" ht="13.25" customHeight="1">
      <c r="B461" s="203">
        <v>41663</v>
      </c>
      <c r="C461" s="202">
        <v>2.7017180000000001</v>
      </c>
      <c r="D461" s="202">
        <v>1.519072</v>
      </c>
      <c r="E461" s="3"/>
    </row>
    <row r="462" spans="2:5" ht="13.25" customHeight="1">
      <c r="B462" s="203">
        <v>41666</v>
      </c>
      <c r="C462" s="202">
        <v>2.7017180000000001</v>
      </c>
      <c r="D462" s="202">
        <v>1.3743920000000001</v>
      </c>
      <c r="E462" s="3"/>
    </row>
    <row r="463" spans="2:5" ht="13.25" customHeight="1">
      <c r="B463" s="203">
        <v>41667</v>
      </c>
      <c r="C463" s="202">
        <v>2.7418100000000001</v>
      </c>
      <c r="D463" s="202">
        <v>1.2761899999999999</v>
      </c>
      <c r="E463" s="3"/>
    </row>
    <row r="464" spans="2:5" ht="13.25" customHeight="1">
      <c r="B464" s="203">
        <v>41668</v>
      </c>
      <c r="C464" s="202">
        <v>2.697263</v>
      </c>
      <c r="D464" s="202">
        <v>2.4057499999999998</v>
      </c>
      <c r="E464" s="3"/>
    </row>
    <row r="465" spans="2:5" ht="13.25" customHeight="1">
      <c r="B465" s="203">
        <v>41669</v>
      </c>
      <c r="C465" s="202">
        <v>2.6348989999999999</v>
      </c>
      <c r="D465" s="202">
        <v>3.8606760000000002</v>
      </c>
      <c r="E465" s="3"/>
    </row>
    <row r="466" spans="2:5" ht="13.25" customHeight="1">
      <c r="B466" s="203">
        <v>41670</v>
      </c>
      <c r="C466" s="202">
        <v>2.6371259999999999</v>
      </c>
      <c r="D466" s="202">
        <v>2.8628279999999999</v>
      </c>
      <c r="E466" s="3"/>
    </row>
    <row r="467" spans="2:5" ht="13.25" customHeight="1">
      <c r="B467" s="203">
        <v>41673</v>
      </c>
      <c r="C467" s="202">
        <v>2.6037170000000001</v>
      </c>
      <c r="D467" s="202">
        <v>1.738202</v>
      </c>
      <c r="E467" s="3"/>
    </row>
    <row r="468" spans="2:5" ht="13.25" customHeight="1">
      <c r="B468" s="203">
        <v>41674</v>
      </c>
      <c r="C468" s="202">
        <v>2.6215350000000002</v>
      </c>
      <c r="D468" s="202">
        <v>2.0316860000000001</v>
      </c>
      <c r="E468" s="3"/>
    </row>
    <row r="469" spans="2:5" ht="13.25" customHeight="1">
      <c r="B469" s="203">
        <v>41675</v>
      </c>
      <c r="C469" s="202">
        <v>2.608171</v>
      </c>
      <c r="D469" s="202">
        <v>1.4303980000000001</v>
      </c>
      <c r="E469" s="3"/>
    </row>
    <row r="470" spans="2:5" ht="13.25" customHeight="1">
      <c r="B470" s="203">
        <v>41676</v>
      </c>
      <c r="C470" s="202">
        <v>2.681673</v>
      </c>
      <c r="D470" s="202">
        <v>2.1203280000000002</v>
      </c>
      <c r="E470" s="3"/>
    </row>
    <row r="471" spans="2:5" ht="13.25" customHeight="1">
      <c r="B471" s="203">
        <v>41677</v>
      </c>
      <c r="C471" s="202">
        <v>2.6749900000000002</v>
      </c>
      <c r="D471" s="202">
        <v>2.2799040000000002</v>
      </c>
      <c r="E471" s="3"/>
    </row>
    <row r="472" spans="2:5" ht="13.25" customHeight="1">
      <c r="B472" s="203">
        <v>41680</v>
      </c>
      <c r="C472" s="202">
        <v>2.6616270000000002</v>
      </c>
      <c r="D472" s="202">
        <v>1.363928</v>
      </c>
      <c r="E472" s="3"/>
    </row>
    <row r="473" spans="2:5" ht="13.25" customHeight="1">
      <c r="B473" s="203">
        <v>41681</v>
      </c>
      <c r="C473" s="202">
        <v>2.6727630000000002</v>
      </c>
      <c r="D473" s="202">
        <v>0.95397799999999999</v>
      </c>
      <c r="E473" s="3"/>
    </row>
    <row r="474" spans="2:5" ht="13.25" customHeight="1">
      <c r="B474" s="203">
        <v>41682</v>
      </c>
      <c r="C474" s="202">
        <v>2.7173090000000002</v>
      </c>
      <c r="D474" s="202">
        <v>3.1000220000000001</v>
      </c>
      <c r="E474" s="3"/>
    </row>
    <row r="475" spans="2:5" ht="13.25" customHeight="1">
      <c r="B475" s="203">
        <v>41683</v>
      </c>
      <c r="C475" s="202">
        <v>2.7217639999999999</v>
      </c>
      <c r="D475" s="202">
        <v>1.247136</v>
      </c>
      <c r="E475" s="3"/>
    </row>
    <row r="476" spans="2:5" ht="13.25" customHeight="1">
      <c r="B476" s="203">
        <v>41684</v>
      </c>
      <c r="C476" s="202">
        <v>2.7752189999999999</v>
      </c>
      <c r="D476" s="202">
        <v>3.33446</v>
      </c>
      <c r="E476" s="3"/>
    </row>
    <row r="477" spans="2:5" ht="13.25" customHeight="1">
      <c r="B477" s="203">
        <v>41687</v>
      </c>
      <c r="C477" s="202">
        <v>2.7440359999999999</v>
      </c>
      <c r="D477" s="202">
        <v>1.256108</v>
      </c>
      <c r="E477" s="3"/>
    </row>
    <row r="478" spans="2:5" ht="13.25" customHeight="1">
      <c r="B478" s="203">
        <v>41688</v>
      </c>
      <c r="C478" s="202">
        <v>2.7084000000000001</v>
      </c>
      <c r="D478" s="202">
        <v>2.56501</v>
      </c>
      <c r="E478" s="3"/>
    </row>
    <row r="479" spans="2:5" ht="13.25" customHeight="1">
      <c r="B479" s="203">
        <v>41689</v>
      </c>
      <c r="C479" s="202">
        <v>2.7106270000000001</v>
      </c>
      <c r="D479" s="202">
        <v>1.2484</v>
      </c>
      <c r="E479" s="3"/>
    </row>
    <row r="480" spans="2:5" ht="13.25" customHeight="1">
      <c r="B480" s="203">
        <v>41690</v>
      </c>
      <c r="C480" s="202">
        <v>2.7418100000000001</v>
      </c>
      <c r="D480" s="202">
        <v>1.4121300000000001</v>
      </c>
      <c r="E480" s="3"/>
    </row>
    <row r="481" spans="2:5" ht="13.25" customHeight="1">
      <c r="B481" s="203">
        <v>41691</v>
      </c>
      <c r="C481" s="202">
        <v>2.739582</v>
      </c>
      <c r="D481" s="202">
        <v>1.1537599999999999</v>
      </c>
      <c r="E481" s="3"/>
    </row>
    <row r="482" spans="2:5" ht="13.25" customHeight="1">
      <c r="B482" s="203">
        <v>41694</v>
      </c>
      <c r="C482" s="202">
        <v>2.7484920000000002</v>
      </c>
      <c r="D482" s="202">
        <v>1.613124</v>
      </c>
      <c r="E482" s="3"/>
    </row>
    <row r="483" spans="2:5" ht="13.25" customHeight="1">
      <c r="B483" s="203">
        <v>41695</v>
      </c>
      <c r="C483" s="202">
        <v>2.7618550000000002</v>
      </c>
      <c r="D483" s="202">
        <v>1.001528</v>
      </c>
      <c r="E483" s="3"/>
    </row>
    <row r="484" spans="2:5" ht="13.25" customHeight="1">
      <c r="B484" s="203">
        <v>41696</v>
      </c>
      <c r="C484" s="202">
        <v>2.7707649999999999</v>
      </c>
      <c r="D484" s="202">
        <v>1.541488</v>
      </c>
      <c r="E484" s="3"/>
    </row>
    <row r="485" spans="2:5" ht="13.25" customHeight="1">
      <c r="B485" s="203">
        <v>41697</v>
      </c>
      <c r="C485" s="202">
        <v>2.7707649999999999</v>
      </c>
      <c r="D485" s="202">
        <v>1.328956</v>
      </c>
      <c r="E485" s="3"/>
    </row>
    <row r="486" spans="2:5" ht="13.25" customHeight="1">
      <c r="B486" s="203">
        <v>41698</v>
      </c>
      <c r="C486" s="202">
        <v>2.7551739999999998</v>
      </c>
      <c r="D486" s="202">
        <v>1.080654</v>
      </c>
      <c r="E486" s="3"/>
    </row>
    <row r="487" spans="2:5" ht="13.25" customHeight="1">
      <c r="B487" s="203">
        <v>41701</v>
      </c>
      <c r="C487" s="202">
        <v>2.6861269999999999</v>
      </c>
      <c r="D487" s="202">
        <v>2.2033360000000002</v>
      </c>
      <c r="E487" s="3"/>
    </row>
    <row r="488" spans="2:5" ht="13.25" customHeight="1">
      <c r="B488" s="203">
        <v>41702</v>
      </c>
      <c r="C488" s="202">
        <v>2.739582</v>
      </c>
      <c r="D488" s="202">
        <v>1.1929559999999999</v>
      </c>
      <c r="E488" s="3"/>
    </row>
    <row r="489" spans="2:5" ht="13.25" customHeight="1">
      <c r="B489" s="203">
        <v>41703</v>
      </c>
      <c r="C489" s="202">
        <v>2.7284459999999999</v>
      </c>
      <c r="D489" s="202">
        <v>1.3793580000000001</v>
      </c>
      <c r="E489" s="3"/>
    </row>
    <row r="490" spans="2:5" ht="13.25" customHeight="1">
      <c r="B490" s="203">
        <v>41704</v>
      </c>
      <c r="C490" s="202">
        <v>2.7239909999999998</v>
      </c>
      <c r="D490" s="202">
        <v>1.0980300000000001</v>
      </c>
      <c r="E490" s="3"/>
    </row>
    <row r="491" spans="2:5" ht="13.25" customHeight="1">
      <c r="B491" s="203">
        <v>41705</v>
      </c>
      <c r="C491" s="202">
        <v>2.7061730000000002</v>
      </c>
      <c r="D491" s="202">
        <v>1.0623320000000001</v>
      </c>
      <c r="E491" s="3"/>
    </row>
    <row r="492" spans="2:5" ht="13.25" customHeight="1">
      <c r="B492" s="203">
        <v>41708</v>
      </c>
      <c r="C492" s="202">
        <v>2.7173090000000002</v>
      </c>
      <c r="D492" s="202">
        <v>2.63476</v>
      </c>
      <c r="E492" s="3"/>
    </row>
    <row r="493" spans="2:5" ht="13.25" customHeight="1">
      <c r="B493" s="203">
        <v>41709</v>
      </c>
      <c r="C493" s="202">
        <v>2.746264</v>
      </c>
      <c r="D493" s="202">
        <v>2.3744800000000001</v>
      </c>
      <c r="E493" s="3"/>
    </row>
    <row r="494" spans="2:5" ht="13.25" customHeight="1">
      <c r="B494" s="203">
        <v>41710</v>
      </c>
      <c r="C494" s="202">
        <v>2.6371259999999999</v>
      </c>
      <c r="D494" s="202">
        <v>16.334516000000001</v>
      </c>
      <c r="E494" s="3"/>
    </row>
    <row r="495" spans="2:5" ht="13.25" customHeight="1">
      <c r="B495" s="203">
        <v>41711</v>
      </c>
      <c r="C495" s="202">
        <v>2.6148530000000001</v>
      </c>
      <c r="D495" s="202">
        <v>8.2409079999999992</v>
      </c>
      <c r="E495" s="3"/>
    </row>
    <row r="496" spans="2:5" ht="13.25" customHeight="1">
      <c r="B496" s="203">
        <v>41712</v>
      </c>
      <c r="C496" s="202">
        <v>2.5658530000000002</v>
      </c>
      <c r="D496" s="202">
        <v>4.5831499999999998</v>
      </c>
      <c r="E496" s="3"/>
    </row>
    <row r="497" spans="2:5" ht="13.25" customHeight="1">
      <c r="B497" s="203">
        <v>41715</v>
      </c>
      <c r="C497" s="202">
        <v>2.5814439999999998</v>
      </c>
      <c r="D497" s="202">
        <v>3.2584140000000001</v>
      </c>
      <c r="E497" s="3"/>
    </row>
    <row r="498" spans="2:5" ht="13.25" customHeight="1">
      <c r="B498" s="203">
        <v>41716</v>
      </c>
      <c r="C498" s="202">
        <v>2.597035</v>
      </c>
      <c r="D498" s="202">
        <v>3.0901179999999999</v>
      </c>
      <c r="E498" s="3"/>
    </row>
    <row r="499" spans="2:5" ht="13.25" customHeight="1">
      <c r="B499" s="203">
        <v>41717</v>
      </c>
      <c r="C499" s="202">
        <v>2.5792160000000002</v>
      </c>
      <c r="D499" s="202">
        <v>2.3330440000000001</v>
      </c>
      <c r="E499" s="3"/>
    </row>
    <row r="500" spans="2:5" ht="13.25" customHeight="1">
      <c r="B500" s="203">
        <v>41718</v>
      </c>
      <c r="C500" s="202">
        <v>2.5814439999999998</v>
      </c>
      <c r="D500" s="202">
        <v>2.7859060000000002</v>
      </c>
      <c r="E500" s="3"/>
    </row>
    <row r="501" spans="2:5" ht="13.25" customHeight="1">
      <c r="B501" s="203">
        <v>41719</v>
      </c>
      <c r="C501" s="202">
        <v>2.5613980000000001</v>
      </c>
      <c r="D501" s="202">
        <v>2.6561900000000001</v>
      </c>
      <c r="E501" s="3"/>
    </row>
    <row r="502" spans="2:5" ht="13.25" customHeight="1">
      <c r="B502" s="203">
        <v>41722</v>
      </c>
      <c r="C502" s="202">
        <v>2.54358</v>
      </c>
      <c r="D502" s="202">
        <v>1.60294</v>
      </c>
      <c r="E502" s="3"/>
    </row>
    <row r="503" spans="2:5" ht="13.25" customHeight="1">
      <c r="B503" s="203">
        <v>41723</v>
      </c>
      <c r="C503" s="202">
        <v>2.5747620000000002</v>
      </c>
      <c r="D503" s="202">
        <v>1.4087620000000001</v>
      </c>
      <c r="E503" s="3"/>
    </row>
    <row r="504" spans="2:5" ht="13.25" customHeight="1">
      <c r="B504" s="203">
        <v>41724</v>
      </c>
      <c r="C504" s="202">
        <v>2.6103990000000001</v>
      </c>
      <c r="D504" s="202">
        <v>2.13463</v>
      </c>
      <c r="E504" s="3"/>
    </row>
    <row r="505" spans="2:5" ht="13.25" customHeight="1">
      <c r="B505" s="203">
        <v>41725</v>
      </c>
      <c r="C505" s="202">
        <v>2.6237629999999998</v>
      </c>
      <c r="D505" s="202">
        <v>2.4114179999999998</v>
      </c>
      <c r="E505" s="3"/>
    </row>
    <row r="506" spans="2:5" ht="13.25" customHeight="1">
      <c r="B506" s="203">
        <v>41726</v>
      </c>
      <c r="C506" s="202">
        <v>2.6371259999999999</v>
      </c>
      <c r="D506" s="202">
        <v>2.611078</v>
      </c>
      <c r="E506" s="3"/>
    </row>
    <row r="507" spans="2:5" ht="13.25" customHeight="1">
      <c r="B507" s="203">
        <v>41729</v>
      </c>
      <c r="C507" s="202">
        <v>2.65049</v>
      </c>
      <c r="D507" s="202">
        <v>3.3733740000000001</v>
      </c>
      <c r="E507" s="3"/>
    </row>
    <row r="508" spans="2:5" ht="13.25" customHeight="1">
      <c r="B508" s="203">
        <v>41730</v>
      </c>
      <c r="C508" s="202">
        <v>2.6304449999999999</v>
      </c>
      <c r="D508" s="202">
        <v>2.4676659999999999</v>
      </c>
      <c r="E508" s="3"/>
    </row>
    <row r="509" spans="2:5" ht="13.25" customHeight="1">
      <c r="B509" s="203">
        <v>41731</v>
      </c>
      <c r="C509" s="202">
        <v>2.605944</v>
      </c>
      <c r="D509" s="202">
        <v>2.7023459999999999</v>
      </c>
      <c r="E509" s="3"/>
    </row>
    <row r="510" spans="2:5" ht="13.25" customHeight="1">
      <c r="B510" s="203">
        <v>41732</v>
      </c>
      <c r="C510" s="202">
        <v>2.6683080000000001</v>
      </c>
      <c r="D510" s="202">
        <v>3.3354439999999999</v>
      </c>
      <c r="E510" s="3"/>
    </row>
    <row r="511" spans="2:5" ht="13.25" customHeight="1">
      <c r="B511" s="203">
        <v>41733</v>
      </c>
      <c r="C511" s="202">
        <v>2.737355</v>
      </c>
      <c r="D511" s="202">
        <v>6.1211779999999996</v>
      </c>
      <c r="E511" s="3"/>
    </row>
    <row r="512" spans="2:5" ht="13.25" customHeight="1">
      <c r="B512" s="203">
        <v>41736</v>
      </c>
      <c r="C512" s="202">
        <v>2.7039460000000002</v>
      </c>
      <c r="D512" s="202">
        <v>3.2605140000000001</v>
      </c>
      <c r="E512" s="3"/>
    </row>
    <row r="513" spans="2:5" ht="13.25" customHeight="1">
      <c r="B513" s="203">
        <v>41737</v>
      </c>
      <c r="C513" s="202">
        <v>2.7084000000000001</v>
      </c>
      <c r="D513" s="202">
        <v>2.3791880000000001</v>
      </c>
      <c r="E513" s="3"/>
    </row>
    <row r="514" spans="2:5" ht="13.25" customHeight="1">
      <c r="B514" s="203">
        <v>41738</v>
      </c>
      <c r="C514" s="202">
        <v>2.697263</v>
      </c>
      <c r="D514" s="202">
        <v>2.8933360000000001</v>
      </c>
      <c r="E514" s="3"/>
    </row>
    <row r="515" spans="2:5" ht="13.25" customHeight="1">
      <c r="B515" s="203">
        <v>41739</v>
      </c>
      <c r="C515" s="202">
        <v>2.690582</v>
      </c>
      <c r="D515" s="202">
        <v>2.5445660000000001</v>
      </c>
      <c r="E515" s="3"/>
    </row>
    <row r="516" spans="2:5" ht="13.25" customHeight="1">
      <c r="B516" s="203">
        <v>41740</v>
      </c>
      <c r="C516" s="202">
        <v>2.7061730000000002</v>
      </c>
      <c r="D516" s="202">
        <v>2.693692</v>
      </c>
      <c r="E516" s="3"/>
    </row>
    <row r="517" spans="2:5" ht="13.25" customHeight="1">
      <c r="B517" s="203">
        <v>41743</v>
      </c>
      <c r="C517" s="202">
        <v>2.7729910000000002</v>
      </c>
      <c r="D517" s="202">
        <v>5.0727279999999997</v>
      </c>
      <c r="E517" s="3"/>
    </row>
    <row r="518" spans="2:5" ht="13.25" customHeight="1">
      <c r="B518" s="203">
        <v>41744</v>
      </c>
      <c r="C518" s="202">
        <v>2.7418100000000001</v>
      </c>
      <c r="D518" s="202">
        <v>5.4495639999999996</v>
      </c>
      <c r="E518" s="3"/>
    </row>
    <row r="519" spans="2:5" ht="13.25" customHeight="1">
      <c r="B519" s="203">
        <v>41745</v>
      </c>
      <c r="C519" s="202">
        <v>2.8153100000000002</v>
      </c>
      <c r="D519" s="202">
        <v>4.3123820000000004</v>
      </c>
      <c r="E519" s="3"/>
    </row>
    <row r="520" spans="2:5" ht="13.25" customHeight="1">
      <c r="B520" s="203">
        <v>41746</v>
      </c>
      <c r="C520" s="202">
        <v>2.7306729999999999</v>
      </c>
      <c r="D520" s="202">
        <v>5.3483239999999999</v>
      </c>
      <c r="E520" s="3"/>
    </row>
    <row r="521" spans="2:5" ht="13.25" customHeight="1">
      <c r="B521" s="203">
        <v>41751</v>
      </c>
      <c r="C521" s="202">
        <v>2.788583</v>
      </c>
      <c r="D521" s="202">
        <v>2.7066080000000001</v>
      </c>
      <c r="E521" s="3"/>
    </row>
    <row r="522" spans="2:5" ht="13.25" customHeight="1">
      <c r="B522" s="203">
        <v>41752</v>
      </c>
      <c r="C522" s="202">
        <v>2.737355</v>
      </c>
      <c r="D522" s="202">
        <v>1.75637</v>
      </c>
      <c r="E522" s="3"/>
    </row>
    <row r="523" spans="2:5" ht="13.25" customHeight="1">
      <c r="B523" s="203">
        <v>41753</v>
      </c>
      <c r="C523" s="202">
        <v>2.7351269999999999</v>
      </c>
      <c r="D523" s="202">
        <v>2.0532400000000002</v>
      </c>
      <c r="E523" s="3"/>
    </row>
    <row r="524" spans="2:5" ht="13.25" customHeight="1">
      <c r="B524" s="203">
        <v>41754</v>
      </c>
      <c r="C524" s="202">
        <v>2.739582</v>
      </c>
      <c r="D524" s="202">
        <v>1.3210500000000001</v>
      </c>
      <c r="E524" s="3"/>
    </row>
    <row r="525" spans="2:5" ht="13.25" customHeight="1">
      <c r="B525" s="203">
        <v>41757</v>
      </c>
      <c r="C525" s="202">
        <v>2.7618550000000002</v>
      </c>
      <c r="D525" s="202">
        <v>1.651402</v>
      </c>
      <c r="E525" s="3"/>
    </row>
    <row r="526" spans="2:5" ht="13.25" customHeight="1">
      <c r="B526" s="203">
        <v>41758</v>
      </c>
      <c r="C526" s="202">
        <v>2.7997190000000001</v>
      </c>
      <c r="D526" s="202">
        <v>2.5601400000000001</v>
      </c>
      <c r="E526" s="3"/>
    </row>
    <row r="527" spans="2:5" ht="13.25" customHeight="1">
      <c r="B527" s="203">
        <v>41759</v>
      </c>
      <c r="C527" s="202">
        <v>2.788583</v>
      </c>
      <c r="D527" s="202">
        <v>1.50718</v>
      </c>
      <c r="E527" s="3"/>
    </row>
    <row r="528" spans="2:5" ht="13.25" customHeight="1">
      <c r="B528" s="203">
        <v>41761</v>
      </c>
      <c r="C528" s="202">
        <v>2.7997190000000001</v>
      </c>
      <c r="D528" s="202">
        <v>1.646638</v>
      </c>
      <c r="E528" s="3"/>
    </row>
    <row r="529" spans="2:5" ht="13.25" customHeight="1">
      <c r="B529" s="203">
        <v>41764</v>
      </c>
      <c r="C529" s="202">
        <v>2.8041740000000002</v>
      </c>
      <c r="D529" s="202">
        <v>1.4693419999999999</v>
      </c>
      <c r="E529" s="3"/>
    </row>
    <row r="530" spans="2:5" ht="13.25" customHeight="1">
      <c r="B530" s="203">
        <v>41765</v>
      </c>
      <c r="C530" s="202">
        <v>2.7707649999999999</v>
      </c>
      <c r="D530" s="202">
        <v>2.2564340000000001</v>
      </c>
      <c r="E530" s="3"/>
    </row>
    <row r="531" spans="2:5" ht="13.25" customHeight="1">
      <c r="B531" s="203">
        <v>41766</v>
      </c>
      <c r="C531" s="202">
        <v>2.7663099999999998</v>
      </c>
      <c r="D531" s="202">
        <v>1.9018539999999999</v>
      </c>
      <c r="E531" s="3"/>
    </row>
    <row r="532" spans="2:5" ht="13.25" customHeight="1">
      <c r="B532" s="203">
        <v>41767</v>
      </c>
      <c r="C532" s="202">
        <v>2.7841279999999999</v>
      </c>
      <c r="D532" s="202">
        <v>2.8188300000000002</v>
      </c>
      <c r="E532" s="3"/>
    </row>
    <row r="533" spans="2:5" ht="13.25" customHeight="1">
      <c r="B533" s="203">
        <v>41768</v>
      </c>
      <c r="C533" s="202">
        <v>2.788583</v>
      </c>
      <c r="D533" s="202">
        <v>2.001932</v>
      </c>
      <c r="E533" s="3"/>
    </row>
    <row r="534" spans="2:5" ht="13.25" customHeight="1">
      <c r="B534" s="203">
        <v>41771</v>
      </c>
      <c r="C534" s="202">
        <v>2.7640820000000001</v>
      </c>
      <c r="D534" s="202">
        <v>3.6078739999999998</v>
      </c>
      <c r="E534" s="3"/>
    </row>
    <row r="535" spans="2:5" ht="13.25" customHeight="1">
      <c r="B535" s="203">
        <v>41772</v>
      </c>
      <c r="C535" s="202">
        <v>2.6593990000000001</v>
      </c>
      <c r="D535" s="202">
        <v>10.986660000000001</v>
      </c>
      <c r="E535" s="3"/>
    </row>
    <row r="536" spans="2:5" ht="13.25" customHeight="1">
      <c r="B536" s="203">
        <v>41773</v>
      </c>
      <c r="C536" s="202">
        <v>2.7061730000000002</v>
      </c>
      <c r="D536" s="202">
        <v>3.3152879999999998</v>
      </c>
      <c r="E536" s="3"/>
    </row>
    <row r="537" spans="2:5" ht="13.25" customHeight="1">
      <c r="B537" s="203">
        <v>41774</v>
      </c>
      <c r="C537" s="202">
        <v>2.6660810000000001</v>
      </c>
      <c r="D537" s="202">
        <v>2.9423499999999998</v>
      </c>
      <c r="E537" s="3"/>
    </row>
    <row r="538" spans="2:5" ht="13.25" customHeight="1">
      <c r="B538" s="203">
        <v>41775</v>
      </c>
      <c r="C538" s="202">
        <v>2.7195369999999999</v>
      </c>
      <c r="D538" s="202">
        <v>3.838794</v>
      </c>
      <c r="E538" s="3"/>
    </row>
    <row r="539" spans="2:5" ht="13.25" customHeight="1">
      <c r="B539" s="203">
        <v>41778</v>
      </c>
      <c r="C539" s="202">
        <v>2.7424089999999999</v>
      </c>
      <c r="D539" s="202">
        <v>2.2599559999999999</v>
      </c>
      <c r="E539" s="3"/>
    </row>
    <row r="540" spans="2:5" ht="13.25" customHeight="1">
      <c r="B540" s="203">
        <v>41779</v>
      </c>
      <c r="C540" s="202">
        <v>2.7446959999999998</v>
      </c>
      <c r="D540" s="202">
        <v>1.3449500000000001</v>
      </c>
      <c r="E540" s="3"/>
    </row>
    <row r="541" spans="2:5" ht="13.25" customHeight="1">
      <c r="B541" s="203">
        <v>41780</v>
      </c>
      <c r="C541" s="202">
        <v>2.7744300000000002</v>
      </c>
      <c r="D541" s="202">
        <v>1.4804360000000001</v>
      </c>
      <c r="E541" s="3"/>
    </row>
    <row r="542" spans="2:5" ht="13.25" customHeight="1">
      <c r="B542" s="203">
        <v>41781</v>
      </c>
      <c r="C542" s="202">
        <v>2.760707</v>
      </c>
      <c r="D542" s="202">
        <v>1.699708</v>
      </c>
      <c r="E542" s="3"/>
    </row>
    <row r="543" spans="2:5" ht="13.25" customHeight="1">
      <c r="B543" s="203">
        <v>41782</v>
      </c>
      <c r="C543" s="202">
        <v>2.7835800000000002</v>
      </c>
      <c r="D543" s="202">
        <v>1.811474</v>
      </c>
      <c r="E543" s="3"/>
    </row>
    <row r="544" spans="2:5" ht="13.25" customHeight="1">
      <c r="B544" s="203">
        <v>41785</v>
      </c>
      <c r="C544" s="202">
        <v>2.84076</v>
      </c>
      <c r="D544" s="202">
        <v>2.048432</v>
      </c>
      <c r="E544" s="3"/>
    </row>
    <row r="545" spans="2:5" ht="13.25" customHeight="1">
      <c r="B545" s="203">
        <v>41786</v>
      </c>
      <c r="C545" s="202">
        <v>2.815601</v>
      </c>
      <c r="D545" s="202">
        <v>1.4846999999999999</v>
      </c>
      <c r="E545" s="3"/>
    </row>
    <row r="546" spans="2:5" ht="13.25" customHeight="1">
      <c r="B546" s="203">
        <v>41787</v>
      </c>
      <c r="C546" s="202">
        <v>2.8247499999999999</v>
      </c>
      <c r="D546" s="202">
        <v>1.193244</v>
      </c>
      <c r="E546" s="3"/>
    </row>
    <row r="547" spans="2:5" ht="13.25" customHeight="1">
      <c r="B547" s="203">
        <v>41788</v>
      </c>
      <c r="C547" s="202">
        <v>2.868207</v>
      </c>
      <c r="D547" s="202">
        <v>1.602946</v>
      </c>
      <c r="E547" s="3"/>
    </row>
    <row r="548" spans="2:5" ht="13.25" customHeight="1">
      <c r="B548" s="203">
        <v>41789</v>
      </c>
      <c r="C548" s="202">
        <v>2.870495</v>
      </c>
      <c r="D548" s="202">
        <v>1.4433860000000001</v>
      </c>
      <c r="E548" s="3"/>
    </row>
    <row r="549" spans="2:5" ht="13.25" customHeight="1">
      <c r="B549" s="203">
        <v>41792</v>
      </c>
      <c r="C549" s="202">
        <v>2.870495</v>
      </c>
      <c r="D549" s="202">
        <v>0.83977800000000002</v>
      </c>
      <c r="E549" s="3"/>
    </row>
    <row r="550" spans="2:5" ht="13.25" customHeight="1">
      <c r="B550" s="203">
        <v>41793</v>
      </c>
      <c r="C550" s="202">
        <v>2.8178879999999999</v>
      </c>
      <c r="D550" s="202">
        <v>2.4329399999999999</v>
      </c>
      <c r="E550" s="3"/>
    </row>
    <row r="551" spans="2:5" ht="13.25" customHeight="1">
      <c r="B551" s="203">
        <v>41794</v>
      </c>
      <c r="C551" s="202">
        <v>2.7995899999999998</v>
      </c>
      <c r="D551" s="202">
        <v>1.7309000000000001</v>
      </c>
      <c r="E551" s="3"/>
    </row>
    <row r="552" spans="2:5" ht="13.25" customHeight="1">
      <c r="B552" s="203">
        <v>41795</v>
      </c>
      <c r="C552" s="202">
        <v>2.84076</v>
      </c>
      <c r="D552" s="202">
        <v>1.753984</v>
      </c>
      <c r="E552" s="3"/>
    </row>
    <row r="553" spans="2:5" ht="13.25" customHeight="1">
      <c r="B553" s="203">
        <v>41796</v>
      </c>
      <c r="C553" s="202">
        <v>2.8361860000000001</v>
      </c>
      <c r="D553" s="202">
        <v>1.3166180000000001</v>
      </c>
      <c r="E553" s="3"/>
    </row>
    <row r="554" spans="2:5" ht="13.25" customHeight="1">
      <c r="B554" s="203">
        <v>41799</v>
      </c>
      <c r="C554" s="202">
        <v>2.86592</v>
      </c>
      <c r="D554" s="202">
        <v>1.4157660000000001</v>
      </c>
      <c r="E554" s="3"/>
    </row>
    <row r="555" spans="2:5" ht="13.25" customHeight="1">
      <c r="B555" s="203">
        <v>41800</v>
      </c>
      <c r="C555" s="202">
        <v>2.868207</v>
      </c>
      <c r="D555" s="202">
        <v>1.42622</v>
      </c>
      <c r="E555" s="3"/>
    </row>
    <row r="556" spans="2:5" ht="13.25" customHeight="1">
      <c r="B556" s="203">
        <v>41801</v>
      </c>
      <c r="C556" s="202">
        <v>2.8590580000000001</v>
      </c>
      <c r="D556" s="202">
        <v>1.132112</v>
      </c>
      <c r="E556" s="3"/>
    </row>
    <row r="557" spans="2:5" ht="13.25" customHeight="1">
      <c r="B557" s="203">
        <v>41802</v>
      </c>
      <c r="C557" s="202">
        <v>2.8636330000000001</v>
      </c>
      <c r="D557" s="202">
        <v>0.79179200000000005</v>
      </c>
      <c r="E557" s="3"/>
    </row>
    <row r="558" spans="2:5" ht="13.25" customHeight="1">
      <c r="B558" s="203">
        <v>41803</v>
      </c>
      <c r="C558" s="202">
        <v>2.84076</v>
      </c>
      <c r="D558" s="202">
        <v>1.4766239999999999</v>
      </c>
      <c r="E558" s="3"/>
    </row>
    <row r="559" spans="2:5" ht="13.25" customHeight="1">
      <c r="B559" s="203">
        <v>41806</v>
      </c>
      <c r="C559" s="202">
        <v>2.843048</v>
      </c>
      <c r="D559" s="202">
        <v>1.3529800000000001</v>
      </c>
      <c r="E559" s="3"/>
    </row>
    <row r="560" spans="2:5" ht="13.25" customHeight="1">
      <c r="B560" s="203">
        <v>41807</v>
      </c>
      <c r="C560" s="202">
        <v>2.8499099999999999</v>
      </c>
      <c r="D560" s="202">
        <v>1.040548</v>
      </c>
      <c r="E560" s="3"/>
    </row>
    <row r="561" spans="2:5" ht="13.25" customHeight="1">
      <c r="B561" s="203">
        <v>41808</v>
      </c>
      <c r="C561" s="202">
        <v>2.8910800000000001</v>
      </c>
      <c r="D561" s="202">
        <v>2.7445339999999998</v>
      </c>
      <c r="E561" s="3"/>
    </row>
    <row r="562" spans="2:5" ht="13.25" customHeight="1">
      <c r="B562" s="203">
        <v>41809</v>
      </c>
      <c r="C562" s="202">
        <v>2.9231020000000001</v>
      </c>
      <c r="D562" s="202">
        <v>2.8784900000000002</v>
      </c>
      <c r="E562" s="3"/>
    </row>
    <row r="563" spans="2:5" ht="13.25" customHeight="1">
      <c r="B563" s="203">
        <v>41810</v>
      </c>
      <c r="C563" s="202">
        <v>2.9322499999999998</v>
      </c>
      <c r="D563" s="202">
        <v>2.0263840000000002</v>
      </c>
      <c r="E563" s="3"/>
    </row>
    <row r="564" spans="2:5" ht="13.25" customHeight="1">
      <c r="B564" s="203">
        <v>41813</v>
      </c>
      <c r="C564" s="202">
        <v>2.9231020000000001</v>
      </c>
      <c r="D564" s="202">
        <v>2.1900539999999999</v>
      </c>
      <c r="E564" s="3"/>
    </row>
    <row r="565" spans="2:5" ht="13.25" customHeight="1">
      <c r="B565" s="203">
        <v>41814</v>
      </c>
      <c r="C565" s="202">
        <v>2.9368249999999998</v>
      </c>
      <c r="D565" s="202">
        <v>1.2799700000000001</v>
      </c>
      <c r="E565" s="3"/>
    </row>
    <row r="566" spans="2:5" ht="13.25" customHeight="1">
      <c r="B566" s="203">
        <v>41815</v>
      </c>
      <c r="C566" s="202">
        <v>2.9185270000000001</v>
      </c>
      <c r="D566" s="202">
        <v>1.2249680000000001</v>
      </c>
      <c r="E566" s="3"/>
    </row>
    <row r="567" spans="2:5" ht="13.25" customHeight="1">
      <c r="B567" s="203">
        <v>41816</v>
      </c>
      <c r="C567" s="202">
        <v>2.9139529999999998</v>
      </c>
      <c r="D567" s="202">
        <v>1.396034</v>
      </c>
      <c r="E567" s="3"/>
    </row>
    <row r="568" spans="2:5" ht="13.25" customHeight="1">
      <c r="B568" s="203">
        <v>41817</v>
      </c>
      <c r="C568" s="202">
        <v>2.8887930000000002</v>
      </c>
      <c r="D568" s="202">
        <v>0.78932999999999998</v>
      </c>
      <c r="E568" s="3"/>
    </row>
    <row r="569" spans="2:5" ht="13.25" customHeight="1">
      <c r="B569" s="203">
        <v>41820</v>
      </c>
      <c r="C569" s="202">
        <v>2.8910800000000001</v>
      </c>
      <c r="D569" s="202">
        <v>1.319326</v>
      </c>
      <c r="E569" s="3"/>
    </row>
    <row r="570" spans="2:5" ht="13.25" customHeight="1">
      <c r="B570" s="203">
        <v>41821</v>
      </c>
      <c r="C570" s="202">
        <v>2.8567710000000002</v>
      </c>
      <c r="D570" s="202">
        <v>2.4695079999999998</v>
      </c>
      <c r="E570" s="3"/>
    </row>
    <row r="571" spans="2:5" ht="13.25" customHeight="1">
      <c r="B571" s="203">
        <v>41822</v>
      </c>
      <c r="C571" s="202">
        <v>2.8819309999999998</v>
      </c>
      <c r="D571" s="202">
        <v>1.8632919999999999</v>
      </c>
      <c r="E571" s="3"/>
    </row>
    <row r="572" spans="2:5" ht="13.25" customHeight="1">
      <c r="B572" s="203">
        <v>41823</v>
      </c>
      <c r="C572" s="202">
        <v>2.9002289999999999</v>
      </c>
      <c r="D572" s="202">
        <v>1.8174440000000001</v>
      </c>
      <c r="E572" s="3"/>
    </row>
    <row r="573" spans="2:5" ht="13.25" customHeight="1">
      <c r="B573" s="203">
        <v>41824</v>
      </c>
      <c r="C573" s="202">
        <v>2.870495</v>
      </c>
      <c r="D573" s="202">
        <v>1.7405040000000001</v>
      </c>
      <c r="E573" s="3"/>
    </row>
    <row r="574" spans="2:5" ht="13.25" customHeight="1">
      <c r="B574" s="203">
        <v>41827</v>
      </c>
      <c r="C574" s="202">
        <v>2.8201749999999999</v>
      </c>
      <c r="D574" s="202">
        <v>1.578306</v>
      </c>
      <c r="E574" s="3"/>
    </row>
    <row r="575" spans="2:5" ht="13.25" customHeight="1">
      <c r="B575" s="203">
        <v>41828</v>
      </c>
      <c r="C575" s="202">
        <v>2.7904409999999999</v>
      </c>
      <c r="D575" s="202">
        <v>1.8464020000000001</v>
      </c>
      <c r="E575" s="3"/>
    </row>
    <row r="576" spans="2:5" ht="13.25" customHeight="1">
      <c r="B576" s="203">
        <v>41829</v>
      </c>
      <c r="C576" s="202">
        <v>2.8041649999999998</v>
      </c>
      <c r="D576" s="202">
        <v>1.0061180000000001</v>
      </c>
      <c r="E576" s="3"/>
    </row>
    <row r="577" spans="2:5" ht="13.25" customHeight="1">
      <c r="B577" s="203">
        <v>41830</v>
      </c>
      <c r="C577" s="202">
        <v>2.7035260000000001</v>
      </c>
      <c r="D577" s="202">
        <v>3.2056879999999999</v>
      </c>
      <c r="E577" s="3"/>
    </row>
    <row r="578" spans="2:5" ht="13.25" customHeight="1">
      <c r="B578" s="203">
        <v>41831</v>
      </c>
      <c r="C578" s="202">
        <v>2.7584200000000001</v>
      </c>
      <c r="D578" s="202">
        <v>1.6929179999999999</v>
      </c>
      <c r="E578" s="3"/>
    </row>
    <row r="579" spans="2:5" ht="13.25" customHeight="1">
      <c r="B579" s="203">
        <v>41834</v>
      </c>
      <c r="C579" s="202">
        <v>2.7698559999999999</v>
      </c>
      <c r="D579" s="202">
        <v>1.0640039999999999</v>
      </c>
      <c r="E579" s="3"/>
    </row>
    <row r="580" spans="2:5" ht="13.25" customHeight="1">
      <c r="B580" s="203">
        <v>41835</v>
      </c>
      <c r="C580" s="202">
        <v>2.7012390000000002</v>
      </c>
      <c r="D580" s="202">
        <v>3.051812</v>
      </c>
      <c r="E580" s="3"/>
    </row>
    <row r="581" spans="2:5" ht="13.25" customHeight="1">
      <c r="B581" s="203">
        <v>41836</v>
      </c>
      <c r="C581" s="202">
        <v>2.7744300000000002</v>
      </c>
      <c r="D581" s="202">
        <v>2.6146539999999998</v>
      </c>
      <c r="E581" s="3"/>
    </row>
    <row r="582" spans="2:5" ht="13.25" customHeight="1">
      <c r="B582" s="203">
        <v>41837</v>
      </c>
      <c r="C582" s="202">
        <v>2.7446959999999998</v>
      </c>
      <c r="D582" s="202">
        <v>1.2095480000000001</v>
      </c>
      <c r="E582" s="3"/>
    </row>
    <row r="583" spans="2:5" ht="13.25" customHeight="1">
      <c r="B583" s="203">
        <v>41838</v>
      </c>
      <c r="C583" s="202">
        <v>2.7378339999999999</v>
      </c>
      <c r="D583" s="202">
        <v>1.784508</v>
      </c>
      <c r="E583" s="3"/>
    </row>
    <row r="584" spans="2:5" ht="13.25" customHeight="1">
      <c r="B584" s="203">
        <v>41841</v>
      </c>
      <c r="C584" s="202">
        <v>2.6966640000000002</v>
      </c>
      <c r="D584" s="202">
        <v>1.62839</v>
      </c>
      <c r="E584" s="3"/>
    </row>
    <row r="585" spans="2:5" ht="13.25" customHeight="1">
      <c r="B585" s="203">
        <v>41842</v>
      </c>
      <c r="C585" s="202">
        <v>2.7149619999999999</v>
      </c>
      <c r="D585" s="202">
        <v>1.6309020000000001</v>
      </c>
      <c r="E585" s="3"/>
    </row>
    <row r="586" spans="2:5" ht="13.25" customHeight="1">
      <c r="B586" s="203">
        <v>41843</v>
      </c>
      <c r="C586" s="202">
        <v>2.6989510000000001</v>
      </c>
      <c r="D586" s="202">
        <v>1.4250499999999999</v>
      </c>
      <c r="E586" s="3"/>
    </row>
    <row r="587" spans="2:5" ht="13.25" customHeight="1">
      <c r="B587" s="203">
        <v>41844</v>
      </c>
      <c r="C587" s="202">
        <v>2.705813</v>
      </c>
      <c r="D587" s="202">
        <v>1.3460319999999999</v>
      </c>
      <c r="E587" s="3"/>
    </row>
    <row r="588" spans="2:5" ht="13.25" customHeight="1">
      <c r="B588" s="203">
        <v>41845</v>
      </c>
      <c r="C588" s="202">
        <v>2.6852279999999999</v>
      </c>
      <c r="D588" s="202">
        <v>1.483614</v>
      </c>
      <c r="E588" s="3"/>
    </row>
    <row r="589" spans="2:5" ht="13.25" customHeight="1">
      <c r="B589" s="203">
        <v>41848</v>
      </c>
      <c r="C589" s="202">
        <v>2.6989510000000001</v>
      </c>
      <c r="D589" s="202">
        <v>1.5282800000000001</v>
      </c>
      <c r="E589" s="3"/>
    </row>
    <row r="590" spans="2:5" ht="13.25" customHeight="1">
      <c r="B590" s="203">
        <v>41849</v>
      </c>
      <c r="C590" s="202">
        <v>2.7149619999999999</v>
      </c>
      <c r="D590" s="202">
        <v>1.1534</v>
      </c>
      <c r="E590" s="3"/>
    </row>
    <row r="591" spans="2:5" ht="13.25" customHeight="1">
      <c r="B591" s="203">
        <v>41850</v>
      </c>
      <c r="C591" s="202">
        <v>2.6989510000000001</v>
      </c>
      <c r="D591" s="202">
        <v>1.2128319999999999</v>
      </c>
      <c r="E591" s="3"/>
    </row>
    <row r="592" spans="2:5" ht="13.25" customHeight="1">
      <c r="B592" s="203">
        <v>41851</v>
      </c>
      <c r="C592" s="202">
        <v>2.6692170000000002</v>
      </c>
      <c r="D592" s="202">
        <v>2.4404560000000002</v>
      </c>
      <c r="E592" s="3"/>
    </row>
    <row r="593" spans="2:5" ht="13.25" customHeight="1">
      <c r="B593" s="203">
        <v>41852</v>
      </c>
      <c r="C593" s="202">
        <v>2.650919</v>
      </c>
      <c r="D593" s="202">
        <v>2.0594980000000001</v>
      </c>
      <c r="E593" s="3"/>
    </row>
    <row r="594" spans="2:5" ht="13.25" customHeight="1">
      <c r="B594" s="203">
        <v>41855</v>
      </c>
      <c r="C594" s="202">
        <v>2.6669299999999998</v>
      </c>
      <c r="D594" s="202">
        <v>2.0221339999999999</v>
      </c>
      <c r="E594" s="3"/>
    </row>
    <row r="595" spans="2:5" ht="13.25" customHeight="1">
      <c r="B595" s="203">
        <v>41856</v>
      </c>
      <c r="C595" s="202">
        <v>2.6440570000000001</v>
      </c>
      <c r="D595" s="202">
        <v>8.3648199999999999</v>
      </c>
      <c r="E595" s="3"/>
    </row>
    <row r="596" spans="2:5" ht="13.25" customHeight="1">
      <c r="B596" s="203">
        <v>41857</v>
      </c>
      <c r="C596" s="202">
        <v>2.6074609999999998</v>
      </c>
      <c r="D596" s="202">
        <v>3.246658</v>
      </c>
      <c r="E596" s="3"/>
    </row>
    <row r="597" spans="2:5" ht="13.25" customHeight="1">
      <c r="B597" s="203">
        <v>41858</v>
      </c>
      <c r="C597" s="202">
        <v>2.568578</v>
      </c>
      <c r="D597" s="202">
        <v>4.0157439999999998</v>
      </c>
      <c r="E597" s="3"/>
    </row>
    <row r="598" spans="2:5" ht="13.25" customHeight="1">
      <c r="B598" s="203">
        <v>41859</v>
      </c>
      <c r="C598" s="202">
        <v>2.568578</v>
      </c>
      <c r="D598" s="202">
        <v>3.094646</v>
      </c>
      <c r="E598" s="3"/>
    </row>
    <row r="599" spans="2:5" ht="13.25" customHeight="1">
      <c r="B599" s="203">
        <v>41862</v>
      </c>
      <c r="C599" s="202">
        <v>2.5777269999999999</v>
      </c>
      <c r="D599" s="202">
        <v>1.7747120000000001</v>
      </c>
      <c r="E599" s="3"/>
    </row>
    <row r="600" spans="2:5" ht="13.25" customHeight="1">
      <c r="B600" s="203">
        <v>41863</v>
      </c>
      <c r="C600" s="202">
        <v>2.570865</v>
      </c>
      <c r="D600" s="202">
        <v>1.66185</v>
      </c>
      <c r="E600" s="3"/>
    </row>
    <row r="601" spans="2:5" ht="13.25" customHeight="1">
      <c r="B601" s="203">
        <v>41864</v>
      </c>
      <c r="C601" s="202">
        <v>2.570865</v>
      </c>
      <c r="D601" s="202">
        <v>1.18442</v>
      </c>
      <c r="E601" s="3"/>
    </row>
    <row r="602" spans="2:5" ht="13.25" customHeight="1">
      <c r="B602" s="203">
        <v>41865</v>
      </c>
      <c r="C602" s="202">
        <v>2.602887</v>
      </c>
      <c r="D602" s="202">
        <v>1.2021280000000001</v>
      </c>
      <c r="E602" s="3"/>
    </row>
    <row r="603" spans="2:5" ht="13.25" customHeight="1">
      <c r="B603" s="203">
        <v>41869</v>
      </c>
      <c r="C603" s="202">
        <v>2.6074609999999998</v>
      </c>
      <c r="D603" s="202">
        <v>2.1810040000000002</v>
      </c>
      <c r="E603" s="3"/>
    </row>
    <row r="604" spans="2:5" ht="13.25" customHeight="1">
      <c r="B604" s="203">
        <v>41870</v>
      </c>
      <c r="C604" s="202">
        <v>2.6394829999999998</v>
      </c>
      <c r="D604" s="202">
        <v>0.92328200000000005</v>
      </c>
      <c r="E604" s="3"/>
    </row>
    <row r="605" spans="2:5" ht="13.25" customHeight="1">
      <c r="B605" s="203">
        <v>41871</v>
      </c>
      <c r="C605" s="202">
        <v>2.6371950000000002</v>
      </c>
      <c r="D605" s="202">
        <v>0.95911400000000002</v>
      </c>
      <c r="E605" s="3"/>
    </row>
    <row r="606" spans="2:5" ht="13.25" customHeight="1">
      <c r="B606" s="203">
        <v>41872</v>
      </c>
      <c r="C606" s="202">
        <v>2.6692170000000002</v>
      </c>
      <c r="D606" s="202">
        <v>1.8079620000000001</v>
      </c>
      <c r="E606" s="3"/>
    </row>
    <row r="607" spans="2:5" ht="13.25" customHeight="1">
      <c r="B607" s="203">
        <v>41873</v>
      </c>
      <c r="C607" s="202">
        <v>2.6371950000000002</v>
      </c>
      <c r="D607" s="202">
        <v>1.0832900000000001</v>
      </c>
      <c r="E607" s="3"/>
    </row>
    <row r="608" spans="2:5" ht="13.25" customHeight="1">
      <c r="B608" s="203">
        <v>41876</v>
      </c>
      <c r="C608" s="202">
        <v>2.6943769999999998</v>
      </c>
      <c r="D608" s="202">
        <v>0.925454</v>
      </c>
      <c r="E608" s="3"/>
    </row>
    <row r="609" spans="2:5" ht="13.25" customHeight="1">
      <c r="B609" s="203">
        <v>41877</v>
      </c>
      <c r="C609" s="202">
        <v>2.7081</v>
      </c>
      <c r="D609" s="202">
        <v>0.97613799999999995</v>
      </c>
      <c r="E609" s="3"/>
    </row>
    <row r="610" spans="2:5" ht="13.25" customHeight="1">
      <c r="B610" s="203">
        <v>41878</v>
      </c>
      <c r="C610" s="202">
        <v>2.6966640000000002</v>
      </c>
      <c r="D610" s="202">
        <v>1.1727080000000001</v>
      </c>
      <c r="E610" s="3"/>
    </row>
    <row r="611" spans="2:5" ht="13.25" customHeight="1">
      <c r="B611" s="203">
        <v>41879</v>
      </c>
      <c r="C611" s="202">
        <v>2.6577809999999999</v>
      </c>
      <c r="D611" s="202">
        <v>1.0766960000000001</v>
      </c>
      <c r="E611" s="3"/>
    </row>
    <row r="612" spans="2:5" ht="13.25" customHeight="1">
      <c r="B612" s="203">
        <v>41880</v>
      </c>
      <c r="C612" s="202">
        <v>2.6829399999999999</v>
      </c>
      <c r="D612" s="202">
        <v>1.4862340000000001</v>
      </c>
      <c r="E612" s="3"/>
    </row>
    <row r="613" spans="2:5" ht="13.25" customHeight="1">
      <c r="B613" s="203">
        <v>41883</v>
      </c>
      <c r="C613" s="202">
        <v>2.6760790000000001</v>
      </c>
      <c r="D613" s="202">
        <v>0.90878400000000004</v>
      </c>
      <c r="E613" s="3"/>
    </row>
    <row r="614" spans="2:5" ht="13.25" customHeight="1">
      <c r="B614" s="203">
        <v>41884</v>
      </c>
      <c r="C614" s="202">
        <v>2.705813</v>
      </c>
      <c r="D614" s="202">
        <v>1.1794800000000001</v>
      </c>
      <c r="E614" s="3"/>
    </row>
    <row r="615" spans="2:5" ht="13.25" customHeight="1">
      <c r="B615" s="203">
        <v>41885</v>
      </c>
      <c r="C615" s="202">
        <v>2.7424089999999999</v>
      </c>
      <c r="D615" s="202">
        <v>1.6165719999999999</v>
      </c>
      <c r="E615" s="3"/>
    </row>
    <row r="616" spans="2:5" ht="13.25" customHeight="1">
      <c r="B616" s="203">
        <v>41886</v>
      </c>
      <c r="C616" s="202">
        <v>2.7675689999999999</v>
      </c>
      <c r="D616" s="202">
        <v>2.9167260000000002</v>
      </c>
      <c r="E616" s="3"/>
    </row>
    <row r="617" spans="2:5" ht="13.25" customHeight="1">
      <c r="B617" s="203">
        <v>41887</v>
      </c>
      <c r="C617" s="202">
        <v>2.7241110000000002</v>
      </c>
      <c r="D617" s="202">
        <v>1.525542</v>
      </c>
      <c r="E617" s="3"/>
    </row>
    <row r="618" spans="2:5" ht="13.25" customHeight="1">
      <c r="B618" s="203">
        <v>41890</v>
      </c>
      <c r="C618" s="202">
        <v>2.7126749999999999</v>
      </c>
      <c r="D618" s="202">
        <v>1.0262880000000001</v>
      </c>
      <c r="E618" s="3"/>
    </row>
    <row r="619" spans="2:5" ht="13.25" customHeight="1">
      <c r="B619" s="203">
        <v>41891</v>
      </c>
      <c r="C619" s="202">
        <v>2.6989510000000001</v>
      </c>
      <c r="D619" s="202">
        <v>1.281674</v>
      </c>
      <c r="E619" s="3"/>
    </row>
    <row r="620" spans="2:5" ht="13.25" customHeight="1">
      <c r="B620" s="203">
        <v>41892</v>
      </c>
      <c r="C620" s="202">
        <v>2.6898019999999998</v>
      </c>
      <c r="D620" s="202">
        <v>0.94757000000000002</v>
      </c>
      <c r="E620" s="3"/>
    </row>
    <row r="621" spans="2:5" ht="13.25" customHeight="1">
      <c r="B621" s="203">
        <v>41893</v>
      </c>
      <c r="C621" s="202">
        <v>2.6532070000000001</v>
      </c>
      <c r="D621" s="202">
        <v>1.488772</v>
      </c>
      <c r="E621" s="3"/>
    </row>
    <row r="622" spans="2:5" ht="13.25" customHeight="1">
      <c r="B622" s="203">
        <v>41894</v>
      </c>
      <c r="C622" s="202">
        <v>2.6326209999999999</v>
      </c>
      <c r="D622" s="202">
        <v>1.848406</v>
      </c>
      <c r="E622" s="3"/>
    </row>
    <row r="623" spans="2:5" ht="13.25" customHeight="1">
      <c r="B623" s="203">
        <v>41897</v>
      </c>
      <c r="C623" s="202">
        <v>2.6532070000000001</v>
      </c>
      <c r="D623" s="202">
        <v>2.4321299999999999</v>
      </c>
      <c r="E623" s="3"/>
    </row>
    <row r="624" spans="2:5" ht="13.25" customHeight="1">
      <c r="B624" s="203">
        <v>41898</v>
      </c>
      <c r="C624" s="202">
        <v>2.6669299999999998</v>
      </c>
      <c r="D624" s="202">
        <v>1.5512900000000001</v>
      </c>
      <c r="E624" s="3"/>
    </row>
    <row r="625" spans="2:5" ht="13.25" customHeight="1">
      <c r="B625" s="203">
        <v>41899</v>
      </c>
      <c r="C625" s="202">
        <v>2.6875149999999999</v>
      </c>
      <c r="D625" s="202">
        <v>1.6993780000000001</v>
      </c>
      <c r="E625" s="3"/>
    </row>
    <row r="626" spans="2:5" ht="13.25" customHeight="1">
      <c r="B626" s="203">
        <v>41900</v>
      </c>
      <c r="C626" s="202">
        <v>2.6669299999999998</v>
      </c>
      <c r="D626" s="202">
        <v>3.8856039999999998</v>
      </c>
      <c r="E626" s="3"/>
    </row>
    <row r="627" spans="2:5" ht="13.25" customHeight="1">
      <c r="B627" s="203">
        <v>41901</v>
      </c>
      <c r="C627" s="202">
        <v>2.6532070000000001</v>
      </c>
      <c r="D627" s="202">
        <v>3.273714</v>
      </c>
      <c r="E627" s="3"/>
    </row>
    <row r="628" spans="2:5" ht="13.25" customHeight="1">
      <c r="B628" s="203">
        <v>41904</v>
      </c>
      <c r="C628" s="202">
        <v>2.6532070000000001</v>
      </c>
      <c r="D628" s="202">
        <v>1.55332</v>
      </c>
      <c r="E628" s="3"/>
    </row>
    <row r="629" spans="2:5" ht="13.25" customHeight="1">
      <c r="B629" s="203">
        <v>41905</v>
      </c>
      <c r="C629" s="202">
        <v>2.602887</v>
      </c>
      <c r="D629" s="202">
        <v>4.6182699999999999</v>
      </c>
      <c r="E629" s="3"/>
    </row>
    <row r="630" spans="2:5" ht="13.25" customHeight="1">
      <c r="B630" s="203">
        <v>41906</v>
      </c>
      <c r="C630" s="202">
        <v>2.6097489999999999</v>
      </c>
      <c r="D630" s="202">
        <v>2.4291040000000002</v>
      </c>
      <c r="E630" s="3"/>
    </row>
    <row r="631" spans="2:5" ht="13.25" customHeight="1">
      <c r="B631" s="203">
        <v>41907</v>
      </c>
      <c r="C631" s="202">
        <v>2.570865</v>
      </c>
      <c r="D631" s="202">
        <v>2.5840100000000001</v>
      </c>
      <c r="E631" s="3"/>
    </row>
    <row r="632" spans="2:5" ht="13.25" customHeight="1">
      <c r="B632" s="203">
        <v>41908</v>
      </c>
      <c r="C632" s="202">
        <v>2.5777269999999999</v>
      </c>
      <c r="D632" s="202">
        <v>2.7583679999999999</v>
      </c>
      <c r="E632" s="3"/>
    </row>
    <row r="633" spans="2:5" ht="13.25" customHeight="1">
      <c r="B633" s="203">
        <v>41911</v>
      </c>
      <c r="C633" s="202">
        <v>2.5914510000000002</v>
      </c>
      <c r="D633" s="202">
        <v>2.97939</v>
      </c>
      <c r="E633" s="3"/>
    </row>
    <row r="634" spans="2:5" ht="13.25" customHeight="1">
      <c r="B634" s="203">
        <v>41912</v>
      </c>
      <c r="C634" s="202">
        <v>2.6143230000000002</v>
      </c>
      <c r="D634" s="202">
        <v>2.7325819999999998</v>
      </c>
      <c r="E634" s="3"/>
    </row>
    <row r="635" spans="2:5" ht="13.25" customHeight="1">
      <c r="B635" s="203">
        <v>41913</v>
      </c>
      <c r="C635" s="202">
        <v>2.57544</v>
      </c>
      <c r="D635" s="202">
        <v>2.2045119999999998</v>
      </c>
      <c r="E635" s="3"/>
    </row>
    <row r="636" spans="2:5" ht="13.25" customHeight="1">
      <c r="B636" s="203">
        <v>41914</v>
      </c>
      <c r="C636" s="202">
        <v>2.520546</v>
      </c>
      <c r="D636" s="202">
        <v>3.9854120000000002</v>
      </c>
      <c r="E636" s="3"/>
    </row>
    <row r="637" spans="2:5" ht="13.25" customHeight="1">
      <c r="B637" s="203">
        <v>41915</v>
      </c>
      <c r="C637" s="202">
        <v>2.547993</v>
      </c>
      <c r="D637" s="202">
        <v>2.6000899999999998</v>
      </c>
      <c r="E637" s="3"/>
    </row>
    <row r="638" spans="2:5" ht="13.25" customHeight="1">
      <c r="B638" s="203">
        <v>41918</v>
      </c>
      <c r="C638" s="202">
        <v>2.5296949999999998</v>
      </c>
      <c r="D638" s="202">
        <v>1.8496680000000001</v>
      </c>
      <c r="E638" s="3"/>
    </row>
    <row r="639" spans="2:5" ht="13.25" customHeight="1">
      <c r="B639" s="203">
        <v>41919</v>
      </c>
      <c r="C639" s="202">
        <v>2.5159720000000001</v>
      </c>
      <c r="D639" s="202">
        <v>2.180634</v>
      </c>
      <c r="E639" s="3"/>
    </row>
    <row r="640" spans="2:5" ht="13.25" customHeight="1">
      <c r="B640" s="203">
        <v>41920</v>
      </c>
      <c r="C640" s="202">
        <v>2.5091100000000002</v>
      </c>
      <c r="D640" s="202">
        <v>1.9148160000000001</v>
      </c>
      <c r="E640" s="3"/>
    </row>
    <row r="641" spans="2:5" ht="13.25" customHeight="1">
      <c r="B641" s="203">
        <v>41921</v>
      </c>
      <c r="C641" s="202">
        <v>2.536556</v>
      </c>
      <c r="D641" s="202">
        <v>2.8114300000000001</v>
      </c>
      <c r="E641" s="3"/>
    </row>
    <row r="642" spans="2:5" ht="13.25" customHeight="1">
      <c r="B642" s="203">
        <v>41922</v>
      </c>
      <c r="C642" s="202">
        <v>2.5640040000000002</v>
      </c>
      <c r="D642" s="202">
        <v>3.9385859999999999</v>
      </c>
      <c r="E642" s="3"/>
    </row>
    <row r="643" spans="2:5" ht="13.25" customHeight="1">
      <c r="B643" s="203">
        <v>41925</v>
      </c>
      <c r="C643" s="202">
        <v>2.4770880000000002</v>
      </c>
      <c r="D643" s="202">
        <v>4.8292739999999998</v>
      </c>
      <c r="E643" s="3"/>
    </row>
    <row r="644" spans="2:5" ht="13.25" customHeight="1">
      <c r="B644" s="203">
        <v>41926</v>
      </c>
      <c r="C644" s="202">
        <v>2.4816630000000002</v>
      </c>
      <c r="D644" s="202">
        <v>2.93432</v>
      </c>
      <c r="E644" s="3"/>
    </row>
    <row r="645" spans="2:5" ht="13.25" customHeight="1">
      <c r="B645" s="203">
        <v>41927</v>
      </c>
      <c r="C645" s="202">
        <v>2.403896</v>
      </c>
      <c r="D645" s="202">
        <v>3.4474119999999999</v>
      </c>
      <c r="E645" s="3"/>
    </row>
    <row r="646" spans="2:5" ht="13.25" customHeight="1">
      <c r="B646" s="203">
        <v>41928</v>
      </c>
      <c r="C646" s="202">
        <v>2.3695879999999998</v>
      </c>
      <c r="D646" s="202">
        <v>6.8907280000000002</v>
      </c>
      <c r="E646" s="3"/>
    </row>
    <row r="647" spans="2:5" ht="13.25" customHeight="1">
      <c r="B647" s="203">
        <v>41929</v>
      </c>
      <c r="C647" s="202">
        <v>2.4336310000000001</v>
      </c>
      <c r="D647" s="202">
        <v>3.872754</v>
      </c>
      <c r="E647" s="3"/>
    </row>
    <row r="648" spans="2:5" ht="13.25" customHeight="1">
      <c r="B648" s="203">
        <v>41932</v>
      </c>
      <c r="C648" s="202">
        <v>2.4404919999999999</v>
      </c>
      <c r="D648" s="202">
        <v>2.9985080000000002</v>
      </c>
      <c r="E648" s="3"/>
    </row>
    <row r="649" spans="2:5" ht="13.25" customHeight="1">
      <c r="B649" s="203">
        <v>41933</v>
      </c>
      <c r="C649" s="202">
        <v>2.4793759999999998</v>
      </c>
      <c r="D649" s="202">
        <v>2.8900079999999999</v>
      </c>
      <c r="E649" s="3"/>
    </row>
    <row r="650" spans="2:5" ht="13.25" customHeight="1">
      <c r="B650" s="203">
        <v>41934</v>
      </c>
      <c r="C650" s="202">
        <v>2.488524</v>
      </c>
      <c r="D650" s="202">
        <v>1.9714320000000001</v>
      </c>
      <c r="E650" s="3"/>
    </row>
    <row r="651" spans="2:5" ht="13.25" customHeight="1">
      <c r="B651" s="203">
        <v>41935</v>
      </c>
      <c r="C651" s="202">
        <v>2.5296949999999998</v>
      </c>
      <c r="D651" s="202">
        <v>2.8939539999999999</v>
      </c>
      <c r="E651" s="3"/>
    </row>
    <row r="652" spans="2:5" ht="13.25" customHeight="1">
      <c r="B652" s="203">
        <v>41936</v>
      </c>
      <c r="C652" s="202">
        <v>2.5091100000000002</v>
      </c>
      <c r="D652" s="202">
        <v>2.3570519999999999</v>
      </c>
      <c r="E652" s="3"/>
    </row>
    <row r="653" spans="2:5" ht="13.25" customHeight="1">
      <c r="B653" s="203">
        <v>41939</v>
      </c>
      <c r="C653" s="202">
        <v>2.4953859999999999</v>
      </c>
      <c r="D653" s="202">
        <v>2.4250479999999999</v>
      </c>
      <c r="E653" s="3"/>
    </row>
    <row r="654" spans="2:5" ht="13.25" customHeight="1">
      <c r="B654" s="203">
        <v>41940</v>
      </c>
      <c r="C654" s="202">
        <v>2.547993</v>
      </c>
      <c r="D654" s="202">
        <v>1.6820900000000001</v>
      </c>
      <c r="E654" s="3"/>
    </row>
    <row r="655" spans="2:5" ht="13.25" customHeight="1">
      <c r="B655" s="203">
        <v>41941</v>
      </c>
      <c r="C655" s="202">
        <v>2.5548549999999999</v>
      </c>
      <c r="D655" s="202">
        <v>2.1182639999999999</v>
      </c>
      <c r="E655" s="3"/>
    </row>
    <row r="656" spans="2:5" ht="13.25" customHeight="1">
      <c r="B656" s="203">
        <v>41942</v>
      </c>
      <c r="C656" s="202">
        <v>2.5617169999999998</v>
      </c>
      <c r="D656" s="202">
        <v>2.2553200000000002</v>
      </c>
      <c r="E656" s="3"/>
    </row>
    <row r="657" spans="2:5" ht="13.25" customHeight="1">
      <c r="B657" s="203">
        <v>41943</v>
      </c>
      <c r="C657" s="202">
        <v>2.623472</v>
      </c>
      <c r="D657" s="202">
        <v>3.05491</v>
      </c>
      <c r="E657" s="3"/>
    </row>
    <row r="658" spans="2:5" ht="13.25" customHeight="1">
      <c r="B658" s="203">
        <v>41946</v>
      </c>
      <c r="C658" s="202">
        <v>2.545706</v>
      </c>
      <c r="D658" s="202">
        <v>3.22655</v>
      </c>
      <c r="E658" s="3"/>
    </row>
    <row r="659" spans="2:5" ht="13.25" customHeight="1">
      <c r="B659" s="203">
        <v>41947</v>
      </c>
      <c r="C659" s="202">
        <v>2.5274070000000002</v>
      </c>
      <c r="D659" s="202">
        <v>2.1820119999999998</v>
      </c>
      <c r="E659" s="3"/>
    </row>
    <row r="660" spans="2:5" ht="13.25" customHeight="1">
      <c r="B660" s="203">
        <v>41948</v>
      </c>
      <c r="C660" s="202">
        <v>2.5868760000000002</v>
      </c>
      <c r="D660" s="202">
        <v>2.3310900000000001</v>
      </c>
      <c r="E660" s="3"/>
    </row>
    <row r="661" spans="2:5" ht="13.25" customHeight="1">
      <c r="B661" s="203">
        <v>41949</v>
      </c>
      <c r="C661" s="202">
        <v>2.5571419999999998</v>
      </c>
      <c r="D661" s="202">
        <v>3.2170399999999999</v>
      </c>
      <c r="E661" s="3"/>
    </row>
    <row r="662" spans="2:5" ht="13.25" customHeight="1">
      <c r="B662" s="203">
        <v>41950</v>
      </c>
      <c r="C662" s="202">
        <v>2.545706</v>
      </c>
      <c r="D662" s="202">
        <v>2.8604159999999998</v>
      </c>
      <c r="E662" s="3"/>
    </row>
    <row r="663" spans="2:5" ht="13.25" customHeight="1">
      <c r="B663" s="203">
        <v>41953</v>
      </c>
      <c r="C663" s="202">
        <v>2.5640040000000002</v>
      </c>
      <c r="D663" s="202">
        <v>2.2410960000000002</v>
      </c>
      <c r="E663" s="3"/>
    </row>
    <row r="664" spans="2:5" ht="13.25" customHeight="1">
      <c r="B664" s="203">
        <v>41954</v>
      </c>
      <c r="C664" s="202">
        <v>2.5548549999999999</v>
      </c>
      <c r="D664" s="202">
        <v>2.2926859999999998</v>
      </c>
      <c r="E664" s="3"/>
    </row>
    <row r="665" spans="2:5" ht="13.25" customHeight="1">
      <c r="B665" s="203">
        <v>41955</v>
      </c>
      <c r="C665" s="202">
        <v>2.4084699999999999</v>
      </c>
      <c r="D665" s="202">
        <v>6.4754659999999999</v>
      </c>
      <c r="E665" s="3"/>
    </row>
    <row r="666" spans="2:5" ht="13.25" customHeight="1">
      <c r="B666" s="203">
        <v>41956</v>
      </c>
      <c r="C666" s="202">
        <v>2.4016090000000001</v>
      </c>
      <c r="D666" s="202">
        <v>4.2752840000000001</v>
      </c>
      <c r="E666" s="3"/>
    </row>
    <row r="667" spans="2:5" ht="13.25" customHeight="1">
      <c r="B667" s="203">
        <v>41957</v>
      </c>
      <c r="C667" s="202">
        <v>2.4061840000000001</v>
      </c>
      <c r="D667" s="202">
        <v>4.2347640000000002</v>
      </c>
      <c r="E667" s="3"/>
    </row>
    <row r="668" spans="2:5" ht="13.25" customHeight="1">
      <c r="B668" s="203">
        <v>41960</v>
      </c>
      <c r="C668" s="202">
        <v>2.44278</v>
      </c>
      <c r="D668" s="202">
        <v>2.4602040000000001</v>
      </c>
      <c r="E668" s="3"/>
    </row>
    <row r="669" spans="2:5" ht="13.25" customHeight="1">
      <c r="B669" s="203">
        <v>41961</v>
      </c>
      <c r="C669" s="202">
        <v>2.4770880000000002</v>
      </c>
      <c r="D669" s="202">
        <v>2.5269379999999999</v>
      </c>
      <c r="E669" s="3"/>
    </row>
    <row r="670" spans="2:5" ht="13.25" customHeight="1">
      <c r="B670" s="203">
        <v>41962</v>
      </c>
      <c r="C670" s="202">
        <v>2.4725139999999999</v>
      </c>
      <c r="D670" s="202">
        <v>1.660728</v>
      </c>
      <c r="E670" s="3"/>
    </row>
    <row r="671" spans="2:5" ht="13.25" customHeight="1">
      <c r="B671" s="203">
        <v>41963</v>
      </c>
      <c r="C671" s="202">
        <v>2.4816630000000002</v>
      </c>
      <c r="D671" s="202">
        <v>2.8390819999999999</v>
      </c>
      <c r="E671" s="3"/>
    </row>
    <row r="672" spans="2:5" ht="13.25" customHeight="1">
      <c r="B672" s="203">
        <v>41964</v>
      </c>
      <c r="C672" s="202">
        <v>2.520546</v>
      </c>
      <c r="D672" s="202">
        <v>4.7512660000000002</v>
      </c>
      <c r="E672" s="3"/>
    </row>
    <row r="673" spans="2:5" ht="13.25" customHeight="1">
      <c r="B673" s="203">
        <v>41967</v>
      </c>
      <c r="C673" s="202">
        <v>2.5319820000000002</v>
      </c>
      <c r="D673" s="202">
        <v>2.5245259999999998</v>
      </c>
      <c r="E673" s="3"/>
    </row>
    <row r="674" spans="2:5" ht="13.25" customHeight="1">
      <c r="B674" s="203">
        <v>41968</v>
      </c>
      <c r="C674" s="202">
        <v>2.5274070000000002</v>
      </c>
      <c r="D674" s="202">
        <v>1.75803</v>
      </c>
      <c r="E674" s="3"/>
    </row>
    <row r="675" spans="2:5" ht="13.25" customHeight="1">
      <c r="B675" s="203">
        <v>41969</v>
      </c>
      <c r="C675" s="202">
        <v>2.541131</v>
      </c>
      <c r="D675" s="202">
        <v>2.8026239999999998</v>
      </c>
      <c r="E675" s="3"/>
    </row>
    <row r="676" spans="2:5" ht="13.25" customHeight="1">
      <c r="B676" s="203">
        <v>41970</v>
      </c>
      <c r="C676" s="202">
        <v>2.5594290000000002</v>
      </c>
      <c r="D676" s="202">
        <v>2.7862</v>
      </c>
      <c r="E676" s="3"/>
    </row>
    <row r="677" spans="2:5" ht="13.25" customHeight="1">
      <c r="B677" s="203">
        <v>41971</v>
      </c>
      <c r="C677" s="202">
        <v>2.570865</v>
      </c>
      <c r="D677" s="202">
        <v>1.6564179999999999</v>
      </c>
      <c r="E677" s="3"/>
    </row>
    <row r="678" spans="2:5" ht="13.25" customHeight="1">
      <c r="B678" s="203">
        <v>41974</v>
      </c>
      <c r="C678" s="202">
        <v>2.5571419999999998</v>
      </c>
      <c r="D678" s="202">
        <v>1.55888</v>
      </c>
      <c r="E678" s="3"/>
    </row>
    <row r="679" spans="2:5" ht="13.25" customHeight="1">
      <c r="B679" s="203">
        <v>41975</v>
      </c>
      <c r="C679" s="202">
        <v>2.573153</v>
      </c>
      <c r="D679" s="202">
        <v>1.8014399999999999</v>
      </c>
      <c r="E679" s="3"/>
    </row>
    <row r="680" spans="2:5" ht="13.25" customHeight="1">
      <c r="B680" s="203">
        <v>41976</v>
      </c>
      <c r="C680" s="202">
        <v>2.596025</v>
      </c>
      <c r="D680" s="202">
        <v>1.9108780000000001</v>
      </c>
      <c r="E680" s="3"/>
    </row>
    <row r="681" spans="2:5" ht="13.25" customHeight="1">
      <c r="B681" s="203">
        <v>41977</v>
      </c>
      <c r="C681" s="202">
        <v>2.5159720000000001</v>
      </c>
      <c r="D681" s="202">
        <v>3.4042840000000001</v>
      </c>
      <c r="E681" s="3"/>
    </row>
    <row r="682" spans="2:5" ht="13.25" customHeight="1">
      <c r="B682" s="203">
        <v>41978</v>
      </c>
      <c r="C682" s="202">
        <v>2.5823010000000002</v>
      </c>
      <c r="D682" s="202">
        <v>1.9261699999999999</v>
      </c>
      <c r="E682" s="3"/>
    </row>
    <row r="683" spans="2:5" ht="13.25" customHeight="1">
      <c r="B683" s="203">
        <v>41981</v>
      </c>
      <c r="C683" s="202">
        <v>2.5571419999999998</v>
      </c>
      <c r="D683" s="202">
        <v>1.0794840000000001</v>
      </c>
      <c r="E683" s="3"/>
    </row>
    <row r="684" spans="2:5" ht="13.25" customHeight="1">
      <c r="B684" s="203">
        <v>41982</v>
      </c>
      <c r="C684" s="202">
        <v>2.4679389999999999</v>
      </c>
      <c r="D684" s="202">
        <v>2.4428899999999998</v>
      </c>
      <c r="E684" s="3"/>
    </row>
    <row r="685" spans="2:5" ht="13.25" customHeight="1">
      <c r="B685" s="203">
        <v>41983</v>
      </c>
      <c r="C685" s="202">
        <v>2.465652</v>
      </c>
      <c r="D685" s="202">
        <v>1.9719640000000001</v>
      </c>
      <c r="E685" s="3"/>
    </row>
    <row r="686" spans="2:5" ht="13.25" customHeight="1">
      <c r="B686" s="203">
        <v>41984</v>
      </c>
      <c r="C686" s="202">
        <v>2.4542160000000002</v>
      </c>
      <c r="D686" s="202">
        <v>1.8327560000000001</v>
      </c>
      <c r="E686" s="3"/>
    </row>
    <row r="687" spans="2:5" ht="13.25" customHeight="1">
      <c r="B687" s="203">
        <v>41985</v>
      </c>
      <c r="C687" s="202">
        <v>2.3718750000000002</v>
      </c>
      <c r="D687" s="202">
        <v>3.1410719999999999</v>
      </c>
      <c r="E687" s="3"/>
    </row>
    <row r="688" spans="2:5" ht="13.25" customHeight="1">
      <c r="B688" s="203">
        <v>41988</v>
      </c>
      <c r="C688" s="202">
        <v>2.3558650000000001</v>
      </c>
      <c r="D688" s="202">
        <v>4.1213199999999999</v>
      </c>
      <c r="E688" s="3"/>
    </row>
    <row r="689" spans="2:5" ht="13.25" customHeight="1">
      <c r="B689" s="203">
        <v>41989</v>
      </c>
      <c r="C689" s="202">
        <v>2.387886</v>
      </c>
      <c r="D689" s="202">
        <v>4.2493759999999998</v>
      </c>
      <c r="E689" s="3"/>
    </row>
    <row r="690" spans="2:5" ht="13.25" customHeight="1">
      <c r="B690" s="203">
        <v>41990</v>
      </c>
      <c r="C690" s="202">
        <v>2.3375659999999998</v>
      </c>
      <c r="D690" s="202">
        <v>3.398326</v>
      </c>
      <c r="E690" s="3"/>
    </row>
    <row r="691" spans="2:5" ht="13.25" customHeight="1">
      <c r="B691" s="203">
        <v>41991</v>
      </c>
      <c r="C691" s="202">
        <v>2.305545</v>
      </c>
      <c r="D691" s="202">
        <v>9.1915180000000003</v>
      </c>
      <c r="E691" s="3"/>
    </row>
    <row r="692" spans="2:5" ht="13.25" customHeight="1">
      <c r="B692" s="203">
        <v>41992</v>
      </c>
      <c r="C692" s="202">
        <v>2.3238430000000001</v>
      </c>
      <c r="D692" s="202">
        <v>6.2333100000000004</v>
      </c>
      <c r="E692" s="3"/>
    </row>
    <row r="693" spans="2:5" ht="13.25" customHeight="1">
      <c r="B693" s="203">
        <v>41995</v>
      </c>
      <c r="C693" s="202">
        <v>2.353577</v>
      </c>
      <c r="D693" s="202">
        <v>2.5584199999999999</v>
      </c>
      <c r="E693" s="3"/>
    </row>
    <row r="694" spans="2:5" ht="13.25" customHeight="1">
      <c r="B694" s="203">
        <v>41996</v>
      </c>
      <c r="C694" s="202">
        <v>2.3650129999999998</v>
      </c>
      <c r="D694" s="202">
        <v>2.9549280000000002</v>
      </c>
      <c r="E694" s="3"/>
    </row>
    <row r="695" spans="2:5" ht="13.25" customHeight="1">
      <c r="B695" s="203">
        <v>42002</v>
      </c>
      <c r="C695" s="202">
        <v>2.3444280000000002</v>
      </c>
      <c r="D695" s="202">
        <v>3.0244</v>
      </c>
      <c r="E695" s="3"/>
    </row>
    <row r="696" spans="2:5" ht="13.25" customHeight="1">
      <c r="B696" s="203">
        <v>42003</v>
      </c>
      <c r="C696" s="202">
        <v>2.360439</v>
      </c>
      <c r="D696" s="202">
        <v>2.445964</v>
      </c>
      <c r="E696" s="3"/>
    </row>
    <row r="697" spans="2:5" ht="13.25" customHeight="1">
      <c r="B697" s="203">
        <v>42006</v>
      </c>
      <c r="C697" s="202">
        <v>2.3078319999999999</v>
      </c>
      <c r="D697" s="202">
        <v>2.4996160000000001</v>
      </c>
      <c r="E697" s="3"/>
    </row>
    <row r="698" spans="2:5" ht="13.25" customHeight="1">
      <c r="B698" s="203">
        <v>42009</v>
      </c>
      <c r="C698" s="202">
        <v>2.2552249999999998</v>
      </c>
      <c r="D698" s="202">
        <v>4.869936</v>
      </c>
      <c r="E698" s="3"/>
    </row>
    <row r="699" spans="2:5" ht="13.25" customHeight="1">
      <c r="B699" s="203">
        <v>42010</v>
      </c>
      <c r="C699" s="202">
        <v>2.3078319999999999</v>
      </c>
      <c r="D699" s="202">
        <v>4.2898440000000004</v>
      </c>
      <c r="E699" s="3"/>
    </row>
    <row r="700" spans="2:5" ht="13.25" customHeight="1">
      <c r="B700" s="203">
        <v>42011</v>
      </c>
      <c r="C700" s="202">
        <v>2.3307039999999999</v>
      </c>
      <c r="D700" s="202">
        <v>4.2428059999999999</v>
      </c>
      <c r="E700" s="3"/>
    </row>
    <row r="701" spans="2:5" ht="13.25" customHeight="1">
      <c r="B701" s="203">
        <v>42012</v>
      </c>
      <c r="C701" s="202">
        <v>2.4267690000000002</v>
      </c>
      <c r="D701" s="202">
        <v>7.7722959999999999</v>
      </c>
      <c r="E701" s="3"/>
    </row>
    <row r="702" spans="2:5" ht="13.25" customHeight="1">
      <c r="B702" s="203">
        <v>42013</v>
      </c>
      <c r="C702" s="202">
        <v>2.4176199999999999</v>
      </c>
      <c r="D702" s="202">
        <v>3.6581480000000002</v>
      </c>
      <c r="E702" s="3"/>
    </row>
    <row r="703" spans="2:5" ht="13.25" customHeight="1">
      <c r="B703" s="203">
        <v>42016</v>
      </c>
      <c r="C703" s="202">
        <v>2.435918</v>
      </c>
      <c r="D703" s="202">
        <v>2.3834840000000002</v>
      </c>
      <c r="E703" s="3"/>
    </row>
    <row r="704" spans="2:5" ht="13.25" customHeight="1">
      <c r="B704" s="203">
        <v>42017</v>
      </c>
      <c r="C704" s="202">
        <v>2.520546</v>
      </c>
      <c r="D704" s="202">
        <v>4.1298839999999997</v>
      </c>
      <c r="E704" s="3"/>
    </row>
    <row r="705" spans="2:5" ht="13.25" customHeight="1">
      <c r="B705" s="203">
        <v>42018</v>
      </c>
      <c r="C705" s="202">
        <v>2.4473539999999998</v>
      </c>
      <c r="D705" s="202">
        <v>4.7972320000000002</v>
      </c>
      <c r="E705" s="3"/>
    </row>
    <row r="706" spans="2:5" ht="13.25" customHeight="1">
      <c r="B706" s="203">
        <v>42019</v>
      </c>
      <c r="C706" s="202">
        <v>2.4839500000000001</v>
      </c>
      <c r="D706" s="202">
        <v>4.1726359999999998</v>
      </c>
      <c r="E706" s="3"/>
    </row>
    <row r="707" spans="2:5" ht="13.25" customHeight="1">
      <c r="B707" s="203">
        <v>42020</v>
      </c>
      <c r="C707" s="202">
        <v>2.518259</v>
      </c>
      <c r="D707" s="202">
        <v>6.9771460000000003</v>
      </c>
      <c r="E707" s="3"/>
    </row>
    <row r="708" spans="2:5" ht="13.25" customHeight="1">
      <c r="B708" s="203">
        <v>42023</v>
      </c>
      <c r="C708" s="202">
        <v>2.5159720000000001</v>
      </c>
      <c r="D708" s="202">
        <v>3.7965800000000001</v>
      </c>
      <c r="E708" s="3"/>
    </row>
    <row r="709" spans="2:5" ht="13.25" customHeight="1">
      <c r="B709" s="203">
        <v>42024</v>
      </c>
      <c r="C709" s="202">
        <v>2.5228329999999999</v>
      </c>
      <c r="D709" s="202">
        <v>2.9851179999999999</v>
      </c>
      <c r="E709" s="3"/>
    </row>
    <row r="710" spans="2:5" ht="13.25" customHeight="1">
      <c r="B710" s="203">
        <v>42025</v>
      </c>
      <c r="C710" s="202">
        <v>2.5548549999999999</v>
      </c>
      <c r="D710" s="202">
        <v>6.2561299999999997</v>
      </c>
      <c r="E710" s="3"/>
    </row>
    <row r="711" spans="2:5" ht="13.25" customHeight="1">
      <c r="B711" s="203">
        <v>42026</v>
      </c>
      <c r="C711" s="202">
        <v>2.6006</v>
      </c>
      <c r="D711" s="202">
        <v>4.8282959999999999</v>
      </c>
      <c r="E711" s="3"/>
    </row>
    <row r="712" spans="2:5" ht="13.25" customHeight="1">
      <c r="B712" s="203">
        <v>42027</v>
      </c>
      <c r="C712" s="202">
        <v>2.623472</v>
      </c>
      <c r="D712" s="202">
        <v>4.2639379999999996</v>
      </c>
      <c r="E712" s="3"/>
    </row>
    <row r="713" spans="2:5" ht="13.25" customHeight="1">
      <c r="B713" s="203">
        <v>42030</v>
      </c>
      <c r="C713" s="202">
        <v>2.6692170000000002</v>
      </c>
      <c r="D713" s="202">
        <v>2.915044</v>
      </c>
      <c r="E713" s="3"/>
    </row>
    <row r="714" spans="2:5" ht="13.25" customHeight="1">
      <c r="B714" s="203">
        <v>42031</v>
      </c>
      <c r="C714" s="202">
        <v>2.6577809999999999</v>
      </c>
      <c r="D714" s="202">
        <v>4.3943139999999996</v>
      </c>
      <c r="E714" s="3"/>
    </row>
    <row r="715" spans="2:5" ht="13.25" customHeight="1">
      <c r="B715" s="203">
        <v>42032</v>
      </c>
      <c r="C715" s="202">
        <v>2.6715040000000001</v>
      </c>
      <c r="D715" s="202">
        <v>2.7711239999999999</v>
      </c>
      <c r="E715" s="3"/>
    </row>
    <row r="716" spans="2:5" ht="13.25" customHeight="1">
      <c r="B716" s="203">
        <v>42033</v>
      </c>
      <c r="C716" s="202">
        <v>2.7812920000000001</v>
      </c>
      <c r="D716" s="202">
        <v>7.3558760000000003</v>
      </c>
      <c r="E716" s="3"/>
    </row>
    <row r="717" spans="2:5" ht="13.25" customHeight="1">
      <c r="B717" s="203">
        <v>42034</v>
      </c>
      <c r="C717" s="202">
        <v>2.7446959999999998</v>
      </c>
      <c r="D717" s="202">
        <v>3.6183380000000001</v>
      </c>
      <c r="E717" s="3"/>
    </row>
    <row r="718" spans="2:5" ht="13.25" customHeight="1">
      <c r="B718" s="203">
        <v>42037</v>
      </c>
      <c r="C718" s="202">
        <v>2.7515580000000002</v>
      </c>
      <c r="D718" s="202">
        <v>4.0406180000000003</v>
      </c>
      <c r="E718" s="3"/>
    </row>
    <row r="719" spans="2:5" ht="13.25" customHeight="1">
      <c r="B719" s="203">
        <v>42038</v>
      </c>
      <c r="C719" s="202">
        <v>2.7744300000000002</v>
      </c>
      <c r="D719" s="202">
        <v>3.5904020000000001</v>
      </c>
      <c r="E719" s="3"/>
    </row>
    <row r="720" spans="2:5" ht="13.25" customHeight="1">
      <c r="B720" s="203">
        <v>42039</v>
      </c>
      <c r="C720" s="202">
        <v>2.7584200000000001</v>
      </c>
      <c r="D720" s="202">
        <v>2.9179580000000001</v>
      </c>
      <c r="E720" s="3"/>
    </row>
    <row r="721" spans="2:5" ht="13.25" customHeight="1">
      <c r="B721" s="203">
        <v>42040</v>
      </c>
      <c r="C721" s="202">
        <v>2.7584200000000001</v>
      </c>
      <c r="D721" s="202">
        <v>1.9867360000000001</v>
      </c>
      <c r="E721" s="3"/>
    </row>
    <row r="722" spans="2:5" ht="13.25" customHeight="1">
      <c r="B722" s="203">
        <v>42041</v>
      </c>
      <c r="C722" s="202">
        <v>2.756132</v>
      </c>
      <c r="D722" s="202">
        <v>1.9935400000000001</v>
      </c>
      <c r="E722" s="3"/>
    </row>
    <row r="723" spans="2:5" ht="13.25" customHeight="1">
      <c r="B723" s="203">
        <v>42044</v>
      </c>
      <c r="C723" s="202">
        <v>2.7218239999999998</v>
      </c>
      <c r="D723" s="202">
        <v>3.3273760000000001</v>
      </c>
      <c r="E723" s="3"/>
    </row>
    <row r="724" spans="2:5" ht="13.25" customHeight="1">
      <c r="B724" s="203">
        <v>42045</v>
      </c>
      <c r="C724" s="202">
        <v>2.7446959999999998</v>
      </c>
      <c r="D724" s="202">
        <v>3.2444120000000001</v>
      </c>
      <c r="E724" s="3"/>
    </row>
    <row r="725" spans="2:5" ht="13.25" customHeight="1">
      <c r="B725" s="203">
        <v>42046</v>
      </c>
      <c r="C725" s="202">
        <v>2.7263980000000001</v>
      </c>
      <c r="D725" s="202">
        <v>2.2248039999999998</v>
      </c>
      <c r="E725" s="3"/>
    </row>
    <row r="726" spans="2:5" ht="13.25" customHeight="1">
      <c r="B726" s="203">
        <v>42047</v>
      </c>
      <c r="C726" s="202">
        <v>2.6989510000000001</v>
      </c>
      <c r="D726" s="202">
        <v>5.4793099999999999</v>
      </c>
      <c r="E726" s="3"/>
    </row>
    <row r="727" spans="2:5" ht="13.25" customHeight="1">
      <c r="B727" s="203">
        <v>42048</v>
      </c>
      <c r="C727" s="202">
        <v>2.7241110000000002</v>
      </c>
      <c r="D727" s="202">
        <v>2.576028</v>
      </c>
      <c r="E727" s="3"/>
    </row>
    <row r="728" spans="2:5" ht="13.25" customHeight="1">
      <c r="B728" s="203">
        <v>42051</v>
      </c>
      <c r="C728" s="202">
        <v>2.6920899999999999</v>
      </c>
      <c r="D728" s="202">
        <v>4.3622180000000004</v>
      </c>
      <c r="E728" s="3"/>
    </row>
    <row r="729" spans="2:5" ht="13.25" customHeight="1">
      <c r="B729" s="203">
        <v>42052</v>
      </c>
      <c r="C729" s="202">
        <v>2.6989510000000001</v>
      </c>
      <c r="D729" s="202">
        <v>2.4699260000000001</v>
      </c>
      <c r="E729" s="3"/>
    </row>
    <row r="730" spans="2:5" ht="13.25" customHeight="1">
      <c r="B730" s="203">
        <v>42053</v>
      </c>
      <c r="C730" s="202">
        <v>2.6989510000000001</v>
      </c>
      <c r="D730" s="202">
        <v>3.344706</v>
      </c>
      <c r="E730" s="3"/>
    </row>
    <row r="731" spans="2:5" ht="13.25" customHeight="1">
      <c r="B731" s="203">
        <v>42054</v>
      </c>
      <c r="C731" s="202">
        <v>2.6989510000000001</v>
      </c>
      <c r="D731" s="202">
        <v>2.7347739999999998</v>
      </c>
      <c r="E731" s="3"/>
    </row>
    <row r="732" spans="2:5" ht="13.25" customHeight="1">
      <c r="B732" s="203">
        <v>42055</v>
      </c>
      <c r="C732" s="202">
        <v>2.673791</v>
      </c>
      <c r="D732" s="202">
        <v>2.7575560000000001</v>
      </c>
      <c r="E732" s="3"/>
    </row>
    <row r="733" spans="2:5" ht="13.25" customHeight="1">
      <c r="B733" s="203">
        <v>42058</v>
      </c>
      <c r="C733" s="202">
        <v>2.7149619999999999</v>
      </c>
      <c r="D733" s="202">
        <v>2.9318520000000001</v>
      </c>
      <c r="E733" s="3"/>
    </row>
    <row r="734" spans="2:5" ht="13.25" customHeight="1">
      <c r="B734" s="203">
        <v>42059</v>
      </c>
      <c r="C734" s="202">
        <v>2.7401209999999998</v>
      </c>
      <c r="D734" s="202">
        <v>3.4411559999999999</v>
      </c>
      <c r="E734" s="3"/>
    </row>
    <row r="735" spans="2:5" ht="13.25" customHeight="1">
      <c r="B735" s="203">
        <v>42060</v>
      </c>
      <c r="C735" s="202">
        <v>2.7424089999999999</v>
      </c>
      <c r="D735" s="202">
        <v>1.9245099999999999</v>
      </c>
      <c r="E735" s="3"/>
    </row>
    <row r="736" spans="2:5" ht="13.25" customHeight="1">
      <c r="B736" s="203">
        <v>42061</v>
      </c>
      <c r="C736" s="202">
        <v>2.756132</v>
      </c>
      <c r="D736" s="202">
        <v>3.2070080000000001</v>
      </c>
      <c r="E736" s="3"/>
    </row>
    <row r="737" spans="2:5" ht="13.25" customHeight="1">
      <c r="B737" s="203">
        <v>42062</v>
      </c>
      <c r="C737" s="202">
        <v>2.7652809999999999</v>
      </c>
      <c r="D737" s="202">
        <v>2.3168760000000002</v>
      </c>
      <c r="E737" s="3"/>
    </row>
    <row r="738" spans="2:5" ht="13.25" customHeight="1">
      <c r="B738" s="203">
        <v>42065</v>
      </c>
      <c r="C738" s="202">
        <v>2.7675689999999999</v>
      </c>
      <c r="D738" s="202">
        <v>3.9780660000000001</v>
      </c>
      <c r="E738" s="3"/>
    </row>
    <row r="739" spans="2:5" ht="13.25" customHeight="1">
      <c r="B739" s="203">
        <v>42066</v>
      </c>
      <c r="C739" s="202">
        <v>2.7744300000000002</v>
      </c>
      <c r="D739" s="202">
        <v>4.5642500000000004</v>
      </c>
      <c r="E739" s="3"/>
    </row>
    <row r="740" spans="2:5" ht="13.25" customHeight="1">
      <c r="B740" s="203">
        <v>42067</v>
      </c>
      <c r="C740" s="202">
        <v>2.7858670000000001</v>
      </c>
      <c r="D740" s="202">
        <v>2.2199979999999999</v>
      </c>
      <c r="E740" s="3"/>
    </row>
    <row r="741" spans="2:5" ht="13.25" customHeight="1">
      <c r="B741" s="203">
        <v>42068</v>
      </c>
      <c r="C741" s="202">
        <v>2.7904409999999999</v>
      </c>
      <c r="D741" s="202">
        <v>3.0027900000000001</v>
      </c>
      <c r="E741" s="3"/>
    </row>
    <row r="742" spans="2:5" ht="13.25" customHeight="1">
      <c r="B742" s="203">
        <v>42069</v>
      </c>
      <c r="C742" s="202">
        <v>2.7904409999999999</v>
      </c>
      <c r="D742" s="202">
        <v>2.396134</v>
      </c>
      <c r="E742" s="3"/>
    </row>
    <row r="743" spans="2:5" ht="13.25" customHeight="1">
      <c r="B743" s="203">
        <v>42072</v>
      </c>
      <c r="C743" s="202">
        <v>2.7858670000000001</v>
      </c>
      <c r="D743" s="202">
        <v>1.8427</v>
      </c>
      <c r="E743" s="3"/>
    </row>
    <row r="744" spans="2:5" ht="13.25" customHeight="1">
      <c r="B744" s="203">
        <v>42073</v>
      </c>
      <c r="C744" s="202">
        <v>2.8316119999999998</v>
      </c>
      <c r="D744" s="202">
        <v>8.5864139999999995</v>
      </c>
      <c r="E744" s="3"/>
    </row>
    <row r="745" spans="2:5" ht="13.25" customHeight="1">
      <c r="B745" s="203">
        <v>42074</v>
      </c>
      <c r="C745" s="202">
        <v>2.9299629999999999</v>
      </c>
      <c r="D745" s="202">
        <v>12.384724</v>
      </c>
      <c r="E745" s="3"/>
    </row>
    <row r="746" spans="2:5" ht="13.25" customHeight="1">
      <c r="B746" s="203">
        <v>42075</v>
      </c>
      <c r="C746" s="202">
        <v>2.9574099999999999</v>
      </c>
      <c r="D746" s="202">
        <v>5.2497220000000002</v>
      </c>
      <c r="E746" s="3"/>
    </row>
    <row r="747" spans="2:5" ht="13.25" customHeight="1">
      <c r="B747" s="203">
        <v>42076</v>
      </c>
      <c r="C747" s="202">
        <v>2.9574099999999999</v>
      </c>
      <c r="D747" s="202">
        <v>5.9919539999999998</v>
      </c>
      <c r="E747" s="3"/>
    </row>
    <row r="748" spans="2:5" ht="13.25" customHeight="1">
      <c r="B748" s="203">
        <v>42079</v>
      </c>
      <c r="C748" s="202">
        <v>2.980283</v>
      </c>
      <c r="D748" s="202">
        <v>3.9059379999999999</v>
      </c>
      <c r="E748" s="3"/>
    </row>
    <row r="749" spans="2:5" ht="13.25" customHeight="1">
      <c r="B749" s="203">
        <v>42080</v>
      </c>
      <c r="C749" s="202">
        <v>2.9962930000000001</v>
      </c>
      <c r="D749" s="202">
        <v>6.1710219999999998</v>
      </c>
      <c r="E749" s="3"/>
    </row>
    <row r="750" spans="2:5" ht="13.25" customHeight="1">
      <c r="B750" s="203">
        <v>42081</v>
      </c>
      <c r="C750" s="202">
        <v>2.9848569999999999</v>
      </c>
      <c r="D750" s="202">
        <v>3.6261999999999999</v>
      </c>
      <c r="E750" s="3"/>
    </row>
    <row r="751" spans="2:5" ht="13.25" customHeight="1">
      <c r="B751" s="203">
        <v>42082</v>
      </c>
      <c r="C751" s="202">
        <v>2.99858</v>
      </c>
      <c r="D751" s="202">
        <v>4.1698320000000004</v>
      </c>
      <c r="E751" s="3"/>
    </row>
    <row r="752" spans="2:5" ht="13.25" customHeight="1">
      <c r="B752" s="203">
        <v>42083</v>
      </c>
      <c r="C752" s="202">
        <v>2.9917189999999998</v>
      </c>
      <c r="D752" s="202">
        <v>5.1167400000000001</v>
      </c>
      <c r="E752" s="3"/>
    </row>
    <row r="753" spans="2:5" ht="13.25" customHeight="1">
      <c r="B753" s="203">
        <v>42086</v>
      </c>
      <c r="C753" s="202">
        <v>2.9688469999999998</v>
      </c>
      <c r="D753" s="202">
        <v>2.6917499999999999</v>
      </c>
      <c r="E753" s="3"/>
    </row>
    <row r="754" spans="2:5" ht="13.25" customHeight="1">
      <c r="B754" s="203">
        <v>42087</v>
      </c>
      <c r="C754" s="202">
        <v>2.9391120000000002</v>
      </c>
      <c r="D754" s="202">
        <v>6.0491619999999999</v>
      </c>
      <c r="E754" s="3"/>
    </row>
    <row r="755" spans="2:5" ht="13.25" customHeight="1">
      <c r="B755" s="203">
        <v>42088</v>
      </c>
      <c r="C755" s="202">
        <v>2.9276759999999999</v>
      </c>
      <c r="D755" s="202">
        <v>4.2169860000000003</v>
      </c>
      <c r="E755" s="3"/>
    </row>
    <row r="756" spans="2:5" ht="13.25" customHeight="1">
      <c r="B756" s="203">
        <v>42089</v>
      </c>
      <c r="C756" s="202">
        <v>2.9276759999999999</v>
      </c>
      <c r="D756" s="202">
        <v>5.5637179999999997</v>
      </c>
      <c r="E756" s="3"/>
    </row>
    <row r="757" spans="2:5" ht="13.25" customHeight="1">
      <c r="B757" s="203">
        <v>42090</v>
      </c>
      <c r="C757" s="202">
        <v>2.9688469999999998</v>
      </c>
      <c r="D757" s="202">
        <v>3.1554340000000001</v>
      </c>
      <c r="E757" s="3"/>
    </row>
    <row r="758" spans="2:5" ht="13.25" customHeight="1">
      <c r="B758" s="203">
        <v>42093</v>
      </c>
      <c r="C758" s="202">
        <v>2.9962930000000001</v>
      </c>
      <c r="D758" s="202">
        <v>6.0109240000000002</v>
      </c>
      <c r="E758" s="3"/>
    </row>
    <row r="759" spans="2:5" ht="13.25" customHeight="1">
      <c r="B759" s="203">
        <v>42094</v>
      </c>
      <c r="C759" s="202">
        <v>2.9711340000000002</v>
      </c>
      <c r="D759" s="202">
        <v>3.7592919999999999</v>
      </c>
      <c r="E759" s="3"/>
    </row>
    <row r="760" spans="2:5" ht="13.25" customHeight="1">
      <c r="B760" s="203">
        <v>42095</v>
      </c>
      <c r="C760" s="202">
        <v>3.0832090000000001</v>
      </c>
      <c r="D760" s="202">
        <v>8.0957240000000006</v>
      </c>
      <c r="E760" s="3"/>
    </row>
    <row r="761" spans="2:5" ht="13.25" customHeight="1">
      <c r="B761" s="203">
        <v>42096</v>
      </c>
      <c r="C761" s="202">
        <v>3.1312410000000002</v>
      </c>
      <c r="D761" s="202">
        <v>7.732024</v>
      </c>
      <c r="E761" s="3"/>
    </row>
    <row r="762" spans="2:5" ht="13.25" customHeight="1">
      <c r="B762" s="203">
        <v>42101</v>
      </c>
      <c r="C762" s="202">
        <v>3.1724109999999999</v>
      </c>
      <c r="D762" s="202">
        <v>3.7702740000000001</v>
      </c>
      <c r="E762" s="3"/>
    </row>
    <row r="763" spans="2:5" ht="13.25" customHeight="1">
      <c r="B763" s="203">
        <v>42102</v>
      </c>
      <c r="C763" s="202">
        <v>3.1724109999999999</v>
      </c>
      <c r="D763" s="202">
        <v>5.7313559999999999</v>
      </c>
      <c r="E763" s="3"/>
    </row>
    <row r="764" spans="2:5" ht="13.25" customHeight="1">
      <c r="B764" s="203">
        <v>42103</v>
      </c>
      <c r="C764" s="202">
        <v>3.2273049999999999</v>
      </c>
      <c r="D764" s="202">
        <v>5.2709320000000002</v>
      </c>
      <c r="E764" s="3"/>
    </row>
    <row r="765" spans="2:5" ht="13.25" customHeight="1">
      <c r="B765" s="203">
        <v>42104</v>
      </c>
      <c r="C765" s="202">
        <v>3.2661880000000001</v>
      </c>
      <c r="D765" s="202">
        <v>5.0566519999999997</v>
      </c>
      <c r="E765" s="3"/>
    </row>
    <row r="766" spans="2:5" ht="13.25" customHeight="1">
      <c r="B766" s="203">
        <v>42107</v>
      </c>
      <c r="C766" s="202">
        <v>3.2982100000000001</v>
      </c>
      <c r="D766" s="202">
        <v>6.0700399999999997</v>
      </c>
      <c r="E766" s="3"/>
    </row>
    <row r="767" spans="2:5" ht="13.25" customHeight="1">
      <c r="B767" s="203">
        <v>42108</v>
      </c>
      <c r="C767" s="202">
        <v>3.3210820000000001</v>
      </c>
      <c r="D767" s="202">
        <v>4.5134299999999996</v>
      </c>
      <c r="E767" s="3"/>
    </row>
    <row r="768" spans="2:5" ht="13.25" customHeight="1">
      <c r="B768" s="203">
        <v>42109</v>
      </c>
      <c r="C768" s="202">
        <v>3.3302309999999999</v>
      </c>
      <c r="D768" s="202">
        <v>3.8170359999999999</v>
      </c>
      <c r="E768" s="3"/>
    </row>
    <row r="769" spans="2:5" ht="13.25" customHeight="1">
      <c r="B769" s="203">
        <v>42110</v>
      </c>
      <c r="C769" s="202">
        <v>3.3165079999999998</v>
      </c>
      <c r="D769" s="202">
        <v>5.7015900000000004</v>
      </c>
      <c r="E769" s="3"/>
    </row>
    <row r="770" spans="2:5" ht="13.25" customHeight="1">
      <c r="B770" s="203">
        <v>42111</v>
      </c>
      <c r="C770" s="202">
        <v>3.27305</v>
      </c>
      <c r="D770" s="202">
        <v>4.7430199999999996</v>
      </c>
      <c r="E770" s="3"/>
    </row>
    <row r="771" spans="2:5" ht="13.25" customHeight="1">
      <c r="B771" s="203">
        <v>42114</v>
      </c>
      <c r="C771" s="202">
        <v>3.2295919999999998</v>
      </c>
      <c r="D771" s="202">
        <v>15.9953</v>
      </c>
      <c r="E771" s="3"/>
    </row>
    <row r="772" spans="2:5" ht="13.25" customHeight="1">
      <c r="B772" s="203">
        <v>42115</v>
      </c>
      <c r="C772" s="202">
        <v>3.277625</v>
      </c>
      <c r="D772" s="202">
        <v>4.96305</v>
      </c>
      <c r="E772" s="3"/>
    </row>
    <row r="773" spans="2:5" ht="13.25" customHeight="1">
      <c r="B773" s="203">
        <v>42116</v>
      </c>
      <c r="C773" s="202">
        <v>3.2821989999999999</v>
      </c>
      <c r="D773" s="202">
        <v>3.387912</v>
      </c>
      <c r="E773" s="3"/>
    </row>
    <row r="774" spans="2:5" ht="13.25" customHeight="1">
      <c r="B774" s="203">
        <v>42117</v>
      </c>
      <c r="C774" s="202">
        <v>3.2890609999999998</v>
      </c>
      <c r="D774" s="202">
        <v>3.2840259999999999</v>
      </c>
      <c r="E774" s="3"/>
    </row>
    <row r="775" spans="2:5" ht="13.25" customHeight="1">
      <c r="B775" s="203">
        <v>42118</v>
      </c>
      <c r="C775" s="202">
        <v>3.327944</v>
      </c>
      <c r="D775" s="202">
        <v>3.43866</v>
      </c>
      <c r="E775" s="3"/>
    </row>
    <row r="776" spans="2:5" ht="13.25" customHeight="1">
      <c r="B776" s="203">
        <v>42121</v>
      </c>
      <c r="C776" s="202">
        <v>3.3691149999999999</v>
      </c>
      <c r="D776" s="202">
        <v>3.180212</v>
      </c>
      <c r="E776" s="3"/>
    </row>
    <row r="777" spans="2:5" ht="13.25" customHeight="1">
      <c r="B777" s="203">
        <v>42122</v>
      </c>
      <c r="C777" s="202">
        <v>3.3165079999999998</v>
      </c>
      <c r="D777" s="202">
        <v>3.0844179999999999</v>
      </c>
      <c r="E777" s="3"/>
    </row>
    <row r="778" spans="2:5" ht="13.25" customHeight="1">
      <c r="B778" s="203">
        <v>42123</v>
      </c>
      <c r="C778" s="202">
        <v>3.2250179999999999</v>
      </c>
      <c r="D778" s="202">
        <v>2.9650300000000001</v>
      </c>
      <c r="E778" s="3"/>
    </row>
    <row r="779" spans="2:5" ht="13.25" customHeight="1">
      <c r="B779" s="203">
        <v>42124</v>
      </c>
      <c r="C779" s="202">
        <v>3.1609750000000001</v>
      </c>
      <c r="D779" s="202">
        <v>5.6232620000000004</v>
      </c>
      <c r="E779" s="3"/>
    </row>
    <row r="780" spans="2:5" ht="13.25" customHeight="1">
      <c r="B780" s="203">
        <v>42128</v>
      </c>
      <c r="C780" s="202">
        <v>3.2570389999999998</v>
      </c>
      <c r="D780" s="202">
        <v>4.2009179999999997</v>
      </c>
      <c r="E780" s="3"/>
    </row>
    <row r="781" spans="2:5" ht="13.25" customHeight="1">
      <c r="B781" s="203">
        <v>42129</v>
      </c>
      <c r="C781" s="202">
        <v>3.2021449999999998</v>
      </c>
      <c r="D781" s="202">
        <v>5.5111160000000003</v>
      </c>
      <c r="E781" s="3"/>
    </row>
    <row r="782" spans="2:5" ht="13.25" customHeight="1">
      <c r="B782" s="203">
        <v>42130</v>
      </c>
      <c r="C782" s="202">
        <v>3.2135820000000002</v>
      </c>
      <c r="D782" s="202">
        <v>3.7428940000000002</v>
      </c>
      <c r="E782" s="3"/>
    </row>
    <row r="783" spans="2:5" ht="13.25" customHeight="1">
      <c r="B783" s="203">
        <v>42131</v>
      </c>
      <c r="C783" s="202">
        <v>3.195284</v>
      </c>
      <c r="D783" s="202">
        <v>3.0385599999999999</v>
      </c>
      <c r="E783" s="3"/>
    </row>
    <row r="784" spans="2:5" ht="13.25" customHeight="1">
      <c r="B784" s="203">
        <v>42132</v>
      </c>
      <c r="C784" s="202">
        <v>3.2799119999999999</v>
      </c>
      <c r="D784" s="202">
        <v>3.0357759999999998</v>
      </c>
      <c r="E784" s="3"/>
    </row>
    <row r="785" spans="2:5" ht="13.25" customHeight="1">
      <c r="B785" s="203">
        <v>42135</v>
      </c>
      <c r="C785" s="202">
        <v>3.250178</v>
      </c>
      <c r="D785" s="202">
        <v>3.8116599999999998</v>
      </c>
      <c r="E785" s="3"/>
    </row>
    <row r="786" spans="2:5" ht="13.25" customHeight="1">
      <c r="B786" s="203">
        <v>42136</v>
      </c>
      <c r="C786" s="202">
        <v>3.27305</v>
      </c>
      <c r="D786" s="202">
        <v>8.4833079999999992</v>
      </c>
      <c r="E786" s="3"/>
    </row>
    <row r="787" spans="2:5" ht="13.25" customHeight="1">
      <c r="B787" s="203">
        <v>42137</v>
      </c>
      <c r="C787" s="202">
        <v>3.2158690000000001</v>
      </c>
      <c r="D787" s="202">
        <v>4.8105140000000004</v>
      </c>
      <c r="E787" s="3"/>
    </row>
    <row r="788" spans="2:5" ht="13.25" customHeight="1">
      <c r="B788" s="203">
        <v>42138</v>
      </c>
      <c r="C788" s="202">
        <v>3.2616139999999998</v>
      </c>
      <c r="D788" s="202">
        <v>2.6497899999999999</v>
      </c>
      <c r="E788" s="3"/>
    </row>
    <row r="789" spans="2:5" ht="13.25" customHeight="1">
      <c r="B789" s="203">
        <v>42139</v>
      </c>
      <c r="C789" s="202">
        <v>3.2021449999999998</v>
      </c>
      <c r="D789" s="202">
        <v>8.1352759999999993</v>
      </c>
      <c r="E789" s="3"/>
    </row>
    <row r="790" spans="2:5" ht="13.25" customHeight="1">
      <c r="B790" s="203">
        <v>42142</v>
      </c>
      <c r="C790" s="202">
        <v>3.2513010000000002</v>
      </c>
      <c r="D790" s="202">
        <v>2.8729279999999999</v>
      </c>
      <c r="E790" s="3"/>
    </row>
    <row r="791" spans="2:5" ht="13.25" customHeight="1">
      <c r="B791" s="203">
        <v>42143</v>
      </c>
      <c r="C791" s="202">
        <v>3.3800430000000001</v>
      </c>
      <c r="D791" s="202">
        <v>4.1566979999999996</v>
      </c>
      <c r="E791" s="3"/>
    </row>
    <row r="792" spans="2:5" ht="13.25" customHeight="1">
      <c r="B792" s="203">
        <v>42144</v>
      </c>
      <c r="C792" s="202">
        <v>3.3730199999999999</v>
      </c>
      <c r="D792" s="202">
        <v>3.3483879999999999</v>
      </c>
      <c r="E792" s="3"/>
    </row>
    <row r="793" spans="2:5" ht="13.25" customHeight="1">
      <c r="B793" s="203">
        <v>42145</v>
      </c>
      <c r="C793" s="202">
        <v>3.361316</v>
      </c>
      <c r="D793" s="202">
        <v>2.9328720000000001</v>
      </c>
      <c r="E793" s="3"/>
    </row>
    <row r="794" spans="2:5" ht="13.25" customHeight="1">
      <c r="B794" s="203">
        <v>42146</v>
      </c>
      <c r="C794" s="202">
        <v>3.3285459999999998</v>
      </c>
      <c r="D794" s="202">
        <v>3.0065179999999998</v>
      </c>
      <c r="E794" s="3"/>
    </row>
    <row r="795" spans="2:5" ht="13.25" customHeight="1">
      <c r="B795" s="203">
        <v>42149</v>
      </c>
      <c r="C795" s="202">
        <v>3.2723680000000002</v>
      </c>
      <c r="D795" s="202">
        <v>1.8318099999999999</v>
      </c>
      <c r="E795" s="3"/>
    </row>
    <row r="796" spans="2:5" ht="13.25" customHeight="1">
      <c r="B796" s="203">
        <v>42150</v>
      </c>
      <c r="C796" s="202">
        <v>3.2723680000000002</v>
      </c>
      <c r="D796" s="202">
        <v>2.2892039999999998</v>
      </c>
      <c r="E796" s="3"/>
    </row>
    <row r="797" spans="2:5" ht="13.25" customHeight="1">
      <c r="B797" s="203">
        <v>42151</v>
      </c>
      <c r="C797" s="202">
        <v>3.3191830000000002</v>
      </c>
      <c r="D797" s="202">
        <v>4.2515299999999998</v>
      </c>
      <c r="E797" s="3"/>
    </row>
    <row r="798" spans="2:5" ht="13.25" customHeight="1">
      <c r="B798" s="203">
        <v>42152</v>
      </c>
      <c r="C798" s="202">
        <v>3.3191830000000002</v>
      </c>
      <c r="D798" s="202">
        <v>1.4565060000000001</v>
      </c>
      <c r="E798" s="3"/>
    </row>
    <row r="799" spans="2:5" ht="13.25" customHeight="1">
      <c r="B799" s="203">
        <v>42153</v>
      </c>
      <c r="C799" s="202">
        <v>3.2536420000000001</v>
      </c>
      <c r="D799" s="202">
        <v>3.2677520000000002</v>
      </c>
      <c r="E799" s="3"/>
    </row>
    <row r="800" spans="2:5" ht="13.25" customHeight="1">
      <c r="B800" s="203">
        <v>42156</v>
      </c>
      <c r="C800" s="202">
        <v>3.3027980000000001</v>
      </c>
      <c r="D800" s="202">
        <v>8.0812220000000003</v>
      </c>
      <c r="E800" s="3"/>
    </row>
    <row r="801" spans="2:5" ht="13.25" customHeight="1">
      <c r="B801" s="203">
        <v>42157</v>
      </c>
      <c r="C801" s="202">
        <v>3.3098200000000002</v>
      </c>
      <c r="D801" s="202">
        <v>3.1431420000000001</v>
      </c>
      <c r="E801" s="3"/>
    </row>
    <row r="802" spans="2:5" ht="13.25" customHeight="1">
      <c r="B802" s="203">
        <v>42158</v>
      </c>
      <c r="C802" s="202">
        <v>3.2723680000000002</v>
      </c>
      <c r="D802" s="202">
        <v>4.3410919999999997</v>
      </c>
      <c r="E802" s="3"/>
    </row>
    <row r="803" spans="2:5" ht="13.25" customHeight="1">
      <c r="B803" s="203">
        <v>42159</v>
      </c>
      <c r="C803" s="202">
        <v>3.2161900000000001</v>
      </c>
      <c r="D803" s="202">
        <v>4.3586179999999999</v>
      </c>
      <c r="E803" s="3"/>
    </row>
    <row r="804" spans="2:5" ht="13.25" customHeight="1">
      <c r="B804" s="203">
        <v>42160</v>
      </c>
      <c r="C804" s="202">
        <v>3.141286</v>
      </c>
      <c r="D804" s="202">
        <v>4.3129200000000001</v>
      </c>
      <c r="E804" s="3"/>
    </row>
    <row r="805" spans="2:5" ht="13.25" customHeight="1">
      <c r="B805" s="203">
        <v>42163</v>
      </c>
      <c r="C805" s="202">
        <v>3.1108560000000001</v>
      </c>
      <c r="D805" s="202">
        <v>3.1206019999999999</v>
      </c>
      <c r="E805" s="3"/>
    </row>
    <row r="806" spans="2:5" ht="13.25" customHeight="1">
      <c r="B806" s="203">
        <v>42164</v>
      </c>
      <c r="C806" s="202">
        <v>3.1295820000000001</v>
      </c>
      <c r="D806" s="202">
        <v>4.731954</v>
      </c>
      <c r="E806" s="3"/>
    </row>
    <row r="807" spans="2:5" ht="13.25" customHeight="1">
      <c r="B807" s="203">
        <v>42165</v>
      </c>
      <c r="C807" s="202">
        <v>3.1459670000000002</v>
      </c>
      <c r="D807" s="202">
        <v>3.1632899999999999</v>
      </c>
      <c r="E807" s="3"/>
    </row>
    <row r="808" spans="2:5" ht="13.25" customHeight="1">
      <c r="B808" s="203">
        <v>42166</v>
      </c>
      <c r="C808" s="202">
        <v>3.1366040000000002</v>
      </c>
      <c r="D808" s="202">
        <v>3.968658</v>
      </c>
      <c r="E808" s="3"/>
    </row>
    <row r="809" spans="2:5" ht="13.25" customHeight="1">
      <c r="B809" s="203">
        <v>42167</v>
      </c>
      <c r="C809" s="202">
        <v>3.0991529999999998</v>
      </c>
      <c r="D809" s="202">
        <v>2.549674</v>
      </c>
      <c r="E809" s="3"/>
    </row>
    <row r="810" spans="2:5" ht="13.25" customHeight="1">
      <c r="B810" s="203">
        <v>42170</v>
      </c>
      <c r="C810" s="202">
        <v>3.0897890000000001</v>
      </c>
      <c r="D810" s="202">
        <v>3.6852480000000001</v>
      </c>
      <c r="E810" s="3"/>
    </row>
    <row r="811" spans="2:5" ht="13.25" customHeight="1">
      <c r="B811" s="203">
        <v>42171</v>
      </c>
      <c r="C811" s="202">
        <v>3.160012</v>
      </c>
      <c r="D811" s="202">
        <v>7.0245819999999997</v>
      </c>
      <c r="E811" s="3"/>
    </row>
    <row r="812" spans="2:5" ht="13.25" customHeight="1">
      <c r="B812" s="203">
        <v>42172</v>
      </c>
      <c r="C812" s="202">
        <v>3.1881010000000001</v>
      </c>
      <c r="D812" s="202">
        <v>4.0734560000000002</v>
      </c>
      <c r="E812" s="3"/>
    </row>
    <row r="813" spans="2:5" ht="13.25" customHeight="1">
      <c r="B813" s="203">
        <v>42173</v>
      </c>
      <c r="C813" s="202">
        <v>3.2044860000000002</v>
      </c>
      <c r="D813" s="202">
        <v>6.9434279999999999</v>
      </c>
      <c r="E813" s="3"/>
    </row>
    <row r="814" spans="2:5" ht="13.25" customHeight="1">
      <c r="B814" s="203">
        <v>42174</v>
      </c>
      <c r="C814" s="202">
        <v>3.2349160000000001</v>
      </c>
      <c r="D814" s="202">
        <v>14.099568</v>
      </c>
      <c r="E814" s="3"/>
    </row>
    <row r="815" spans="2:5" ht="13.25" customHeight="1">
      <c r="B815" s="203">
        <v>42177</v>
      </c>
      <c r="C815" s="202">
        <v>3.239598</v>
      </c>
      <c r="D815" s="202">
        <v>5.6467039999999997</v>
      </c>
      <c r="E815" s="3"/>
    </row>
    <row r="816" spans="2:5" ht="13.25" customHeight="1">
      <c r="B816" s="203">
        <v>42178</v>
      </c>
      <c r="C816" s="202">
        <v>3.2770489999999999</v>
      </c>
      <c r="D816" s="202">
        <v>2.063698</v>
      </c>
      <c r="E816" s="3"/>
    </row>
    <row r="817" spans="2:5" ht="13.25" customHeight="1">
      <c r="B817" s="203">
        <v>42179</v>
      </c>
      <c r="C817" s="202">
        <v>3.2957749999999999</v>
      </c>
      <c r="D817" s="202">
        <v>3.3466339999999999</v>
      </c>
      <c r="E817" s="3"/>
    </row>
    <row r="818" spans="2:5" ht="13.25" customHeight="1">
      <c r="B818" s="203">
        <v>42180</v>
      </c>
      <c r="C818" s="202">
        <v>3.2910940000000002</v>
      </c>
      <c r="D818" s="202">
        <v>2.4071180000000001</v>
      </c>
      <c r="E818" s="3"/>
    </row>
    <row r="819" spans="2:5" ht="13.25" customHeight="1">
      <c r="B819" s="203">
        <v>42181</v>
      </c>
      <c r="C819" s="202">
        <v>3.3004570000000002</v>
      </c>
      <c r="D819" s="202">
        <v>2.595488</v>
      </c>
      <c r="E819" s="3"/>
    </row>
    <row r="820" spans="2:5" ht="13.25" customHeight="1">
      <c r="B820" s="203">
        <v>42184</v>
      </c>
      <c r="C820" s="202">
        <v>3.218531</v>
      </c>
      <c r="D820" s="202">
        <v>4.9761540000000002</v>
      </c>
      <c r="E820" s="3"/>
    </row>
    <row r="821" spans="2:5" ht="13.25" customHeight="1">
      <c r="B821" s="203">
        <v>42185</v>
      </c>
      <c r="C821" s="202">
        <v>3.1951230000000002</v>
      </c>
      <c r="D821" s="202">
        <v>3.8542860000000001</v>
      </c>
      <c r="E821" s="3"/>
    </row>
    <row r="822" spans="2:5" ht="13.25" customHeight="1">
      <c r="B822" s="203">
        <v>42186</v>
      </c>
      <c r="C822" s="202">
        <v>3.2513010000000002</v>
      </c>
      <c r="D822" s="202">
        <v>3.5888719999999998</v>
      </c>
      <c r="E822" s="3"/>
    </row>
    <row r="823" spans="2:5" ht="13.25" customHeight="1">
      <c r="B823" s="203">
        <v>42187</v>
      </c>
      <c r="C823" s="202">
        <v>3.199805</v>
      </c>
      <c r="D823" s="202">
        <v>1.621866</v>
      </c>
      <c r="E823" s="3"/>
    </row>
    <row r="824" spans="2:5" ht="13.25" customHeight="1">
      <c r="B824" s="203">
        <v>42188</v>
      </c>
      <c r="C824" s="202">
        <v>3.2021459999999999</v>
      </c>
      <c r="D824" s="202">
        <v>1.1413740000000001</v>
      </c>
      <c r="E824" s="3"/>
    </row>
    <row r="825" spans="2:5" ht="13.25" customHeight="1">
      <c r="B825" s="203">
        <v>42191</v>
      </c>
      <c r="C825" s="202">
        <v>3.1202190000000001</v>
      </c>
      <c r="D825" s="202">
        <v>2.448318</v>
      </c>
      <c r="E825" s="3"/>
    </row>
    <row r="826" spans="2:5" ht="13.25" customHeight="1">
      <c r="B826" s="203">
        <v>42192</v>
      </c>
      <c r="C826" s="202">
        <v>3.0897890000000001</v>
      </c>
      <c r="D826" s="202">
        <v>2.7821379999999998</v>
      </c>
      <c r="E826" s="3"/>
    </row>
    <row r="827" spans="2:5" ht="13.25" customHeight="1">
      <c r="B827" s="203">
        <v>42193</v>
      </c>
      <c r="C827" s="202">
        <v>3.1366040000000002</v>
      </c>
      <c r="D827" s="202">
        <v>2.418806</v>
      </c>
      <c r="E827" s="3"/>
    </row>
    <row r="828" spans="2:5" ht="13.25" customHeight="1">
      <c r="B828" s="203">
        <v>42194</v>
      </c>
      <c r="C828" s="202">
        <v>3.2161900000000001</v>
      </c>
      <c r="D828" s="202">
        <v>2.8137479999999999</v>
      </c>
      <c r="E828" s="3"/>
    </row>
    <row r="829" spans="2:5" ht="13.25" customHeight="1">
      <c r="B829" s="203">
        <v>42195</v>
      </c>
      <c r="C829" s="202">
        <v>3.2864119999999999</v>
      </c>
      <c r="D829" s="202">
        <v>3.0278040000000002</v>
      </c>
      <c r="E829" s="3"/>
    </row>
    <row r="830" spans="2:5" ht="13.25" customHeight="1">
      <c r="B830" s="203">
        <v>42198</v>
      </c>
      <c r="C830" s="202">
        <v>3.2817310000000002</v>
      </c>
      <c r="D830" s="202">
        <v>2.289806</v>
      </c>
      <c r="E830" s="3"/>
    </row>
    <row r="831" spans="2:5" ht="13.25" customHeight="1">
      <c r="B831" s="203">
        <v>42199</v>
      </c>
      <c r="C831" s="202">
        <v>3.3191830000000002</v>
      </c>
      <c r="D831" s="202">
        <v>2.942358</v>
      </c>
      <c r="E831" s="3"/>
    </row>
    <row r="832" spans="2:5" ht="13.25" customHeight="1">
      <c r="B832" s="203">
        <v>42200</v>
      </c>
      <c r="C832" s="202">
        <v>3.3332269999999999</v>
      </c>
      <c r="D832" s="202">
        <v>2.799166</v>
      </c>
      <c r="E832" s="3"/>
    </row>
    <row r="833" spans="2:5" ht="13.25" customHeight="1">
      <c r="B833" s="203">
        <v>42201</v>
      </c>
      <c r="C833" s="202">
        <v>3.3730199999999999</v>
      </c>
      <c r="D833" s="202">
        <v>3.406828</v>
      </c>
      <c r="E833" s="3"/>
    </row>
    <row r="834" spans="2:5" ht="13.25" customHeight="1">
      <c r="B834" s="203">
        <v>42202</v>
      </c>
      <c r="C834" s="202">
        <v>3.3800430000000001</v>
      </c>
      <c r="D834" s="202">
        <v>1.2481</v>
      </c>
      <c r="E834" s="3"/>
    </row>
    <row r="835" spans="2:5" ht="13.25" customHeight="1">
      <c r="B835" s="203">
        <v>42205</v>
      </c>
      <c r="C835" s="202">
        <v>3.4409019999999999</v>
      </c>
      <c r="D835" s="202">
        <v>2.4825819999999998</v>
      </c>
      <c r="E835" s="3"/>
    </row>
    <row r="836" spans="2:5" ht="13.25" customHeight="1">
      <c r="B836" s="203">
        <v>42206</v>
      </c>
      <c r="C836" s="202">
        <v>3.3870650000000002</v>
      </c>
      <c r="D836" s="202">
        <v>3.696482</v>
      </c>
      <c r="E836" s="3"/>
    </row>
    <row r="837" spans="2:5" ht="13.25" customHeight="1">
      <c r="B837" s="203">
        <v>42207</v>
      </c>
      <c r="C837" s="202">
        <v>3.3870650000000002</v>
      </c>
      <c r="D837" s="202">
        <v>2.153308</v>
      </c>
      <c r="E837" s="3"/>
    </row>
    <row r="838" spans="2:5" ht="13.25" customHeight="1">
      <c r="B838" s="203">
        <v>42208</v>
      </c>
      <c r="C838" s="202">
        <v>3.3589760000000002</v>
      </c>
      <c r="D838" s="202">
        <v>2.2969840000000001</v>
      </c>
      <c r="E838" s="3"/>
    </row>
    <row r="839" spans="2:5" ht="13.25" customHeight="1">
      <c r="B839" s="203">
        <v>42209</v>
      </c>
      <c r="C839" s="202">
        <v>3.3636569999999999</v>
      </c>
      <c r="D839" s="202">
        <v>1.9727460000000001</v>
      </c>
      <c r="E839" s="3"/>
    </row>
    <row r="840" spans="2:5" ht="13.25" customHeight="1">
      <c r="B840" s="203">
        <v>42212</v>
      </c>
      <c r="C840" s="202">
        <v>3.2910940000000002</v>
      </c>
      <c r="D840" s="202">
        <v>3.4298479999999998</v>
      </c>
      <c r="E840" s="3"/>
    </row>
    <row r="841" spans="2:5" ht="13.25" customHeight="1">
      <c r="B841" s="203">
        <v>42213</v>
      </c>
      <c r="C841" s="202">
        <v>3.3847239999999998</v>
      </c>
      <c r="D841" s="202">
        <v>3.6056599999999999</v>
      </c>
      <c r="E841" s="3"/>
    </row>
    <row r="842" spans="2:5" ht="13.25" customHeight="1">
      <c r="B842" s="203">
        <v>42214</v>
      </c>
      <c r="C842" s="202">
        <v>3.389405</v>
      </c>
      <c r="D842" s="202">
        <v>3.3572280000000001</v>
      </c>
      <c r="E842" s="3"/>
    </row>
    <row r="843" spans="2:5" ht="13.25" customHeight="1">
      <c r="B843" s="203">
        <v>42215</v>
      </c>
      <c r="C843" s="202">
        <v>3.3753609999999998</v>
      </c>
      <c r="D843" s="202">
        <v>1.5483340000000001</v>
      </c>
      <c r="E843" s="3"/>
    </row>
    <row r="844" spans="2:5" ht="13.25" customHeight="1">
      <c r="B844" s="203">
        <v>42216</v>
      </c>
      <c r="C844" s="202">
        <v>3.4104719999999999</v>
      </c>
      <c r="D844" s="202">
        <v>2.5774940000000002</v>
      </c>
      <c r="E844" s="3"/>
    </row>
    <row r="845" spans="2:5" ht="13.25" customHeight="1">
      <c r="B845" s="203">
        <v>42219</v>
      </c>
      <c r="C845" s="202">
        <v>3.476013</v>
      </c>
      <c r="D845" s="202">
        <v>5.2565299999999997</v>
      </c>
      <c r="E845" s="3"/>
    </row>
    <row r="846" spans="2:5" ht="13.25" customHeight="1">
      <c r="B846" s="203">
        <v>42220</v>
      </c>
      <c r="C846" s="202">
        <v>3.4502649999999999</v>
      </c>
      <c r="D846" s="202">
        <v>6.6752019999999996</v>
      </c>
      <c r="E846" s="3"/>
    </row>
    <row r="847" spans="2:5" ht="13.25" customHeight="1">
      <c r="B847" s="203">
        <v>42221</v>
      </c>
      <c r="C847" s="202">
        <v>3.5228280000000001</v>
      </c>
      <c r="D847" s="202">
        <v>3.3415759999999999</v>
      </c>
      <c r="E847" s="3"/>
    </row>
    <row r="848" spans="2:5" ht="13.25" customHeight="1">
      <c r="B848" s="203">
        <v>42222</v>
      </c>
      <c r="C848" s="202">
        <v>3.4830350000000001</v>
      </c>
      <c r="D848" s="202">
        <v>2.4618039999999999</v>
      </c>
      <c r="E848" s="3"/>
    </row>
    <row r="849" spans="2:5" ht="13.25" customHeight="1">
      <c r="B849" s="203">
        <v>42223</v>
      </c>
      <c r="C849" s="202">
        <v>3.4526059999999998</v>
      </c>
      <c r="D849" s="202">
        <v>1.613836</v>
      </c>
      <c r="E849" s="3"/>
    </row>
    <row r="850" spans="2:5" ht="13.25" customHeight="1">
      <c r="B850" s="203">
        <v>42226</v>
      </c>
      <c r="C850" s="202">
        <v>3.4713319999999999</v>
      </c>
      <c r="D850" s="202">
        <v>1.99898</v>
      </c>
      <c r="E850" s="3"/>
    </row>
    <row r="851" spans="2:5" ht="13.25" customHeight="1">
      <c r="B851" s="203">
        <v>42227</v>
      </c>
      <c r="C851" s="202">
        <v>3.4104719999999999</v>
      </c>
      <c r="D851" s="202">
        <v>2.2981340000000001</v>
      </c>
      <c r="E851" s="3"/>
    </row>
    <row r="852" spans="2:5" ht="13.25" customHeight="1">
      <c r="B852" s="203">
        <v>42228</v>
      </c>
      <c r="C852" s="202">
        <v>3.3168419999999998</v>
      </c>
      <c r="D852" s="202">
        <v>2.8200080000000001</v>
      </c>
      <c r="E852" s="3"/>
    </row>
    <row r="853" spans="2:5" ht="13.25" customHeight="1">
      <c r="B853" s="203">
        <v>42229</v>
      </c>
      <c r="C853" s="202">
        <v>3.361316</v>
      </c>
      <c r="D853" s="202">
        <v>2.0209459999999999</v>
      </c>
      <c r="E853" s="3"/>
    </row>
    <row r="854" spans="2:5" ht="13.25" customHeight="1">
      <c r="B854" s="203">
        <v>42230</v>
      </c>
      <c r="C854" s="202">
        <v>3.370679</v>
      </c>
      <c r="D854" s="202">
        <v>1.79837</v>
      </c>
      <c r="E854" s="3"/>
    </row>
    <row r="855" spans="2:5" ht="13.25" customHeight="1">
      <c r="B855" s="203">
        <v>42233</v>
      </c>
      <c r="C855" s="202">
        <v>3.3940869999999999</v>
      </c>
      <c r="D855" s="202">
        <v>2.21374</v>
      </c>
      <c r="E855" s="3"/>
    </row>
    <row r="856" spans="2:5" ht="13.25" customHeight="1">
      <c r="B856" s="203">
        <v>42234</v>
      </c>
      <c r="C856" s="202">
        <v>3.3285459999999998</v>
      </c>
      <c r="D856" s="202">
        <v>2.6116540000000001</v>
      </c>
      <c r="E856" s="3"/>
    </row>
    <row r="857" spans="2:5" ht="13.25" customHeight="1">
      <c r="B857" s="203">
        <v>42235</v>
      </c>
      <c r="C857" s="202">
        <v>3.2700269999999998</v>
      </c>
      <c r="D857" s="202">
        <v>2.8845100000000001</v>
      </c>
      <c r="E857" s="3"/>
    </row>
    <row r="858" spans="2:5" ht="13.25" customHeight="1">
      <c r="B858" s="203">
        <v>42236</v>
      </c>
      <c r="C858" s="202">
        <v>3.1951230000000002</v>
      </c>
      <c r="D858" s="202">
        <v>3.554376</v>
      </c>
      <c r="E858" s="3"/>
    </row>
    <row r="859" spans="2:5" ht="13.25" customHeight="1">
      <c r="B859" s="203">
        <v>42237</v>
      </c>
      <c r="C859" s="202">
        <v>3.1295820000000001</v>
      </c>
      <c r="D859" s="202">
        <v>3.7173620000000001</v>
      </c>
      <c r="E859" s="3"/>
    </row>
    <row r="860" spans="2:5" ht="13.25" customHeight="1">
      <c r="B860" s="203">
        <v>42240</v>
      </c>
      <c r="C860" s="202">
        <v>2.9867970000000001</v>
      </c>
      <c r="D860" s="202">
        <v>5.2621399999999996</v>
      </c>
      <c r="E860" s="3"/>
    </row>
    <row r="861" spans="2:5" ht="13.25" customHeight="1">
      <c r="B861" s="203">
        <v>42241</v>
      </c>
      <c r="C861" s="202">
        <v>3.1108560000000001</v>
      </c>
      <c r="D861" s="202">
        <v>5.2602359999999999</v>
      </c>
      <c r="E861" s="3"/>
    </row>
    <row r="862" spans="2:5" ht="13.25" customHeight="1">
      <c r="B862" s="203">
        <v>42242</v>
      </c>
      <c r="C862" s="202">
        <v>3.0897890000000001</v>
      </c>
      <c r="D862" s="202">
        <v>2.0820639999999999</v>
      </c>
      <c r="E862" s="3"/>
    </row>
    <row r="863" spans="2:5" ht="13.25" customHeight="1">
      <c r="B863" s="203">
        <v>42243</v>
      </c>
      <c r="C863" s="202">
        <v>3.1646930000000002</v>
      </c>
      <c r="D863" s="202">
        <v>2.9368500000000002</v>
      </c>
      <c r="E863" s="3"/>
    </row>
    <row r="864" spans="2:5" ht="13.25" customHeight="1">
      <c r="B864" s="203">
        <v>42244</v>
      </c>
      <c r="C864" s="202">
        <v>3.1155379999999999</v>
      </c>
      <c r="D864" s="202">
        <v>1.9787380000000001</v>
      </c>
      <c r="E864" s="3"/>
    </row>
    <row r="865" spans="2:5" ht="13.25" customHeight="1">
      <c r="B865" s="203">
        <v>42247</v>
      </c>
      <c r="C865" s="202">
        <v>3.1178780000000001</v>
      </c>
      <c r="D865" s="202">
        <v>1.869602</v>
      </c>
      <c r="E865" s="3"/>
    </row>
    <row r="866" spans="2:5" ht="13.25" customHeight="1">
      <c r="B866" s="203">
        <v>42248</v>
      </c>
      <c r="C866" s="202">
        <v>3.0593599999999999</v>
      </c>
      <c r="D866" s="202">
        <v>2.6131099999999998</v>
      </c>
      <c r="E866" s="3"/>
    </row>
    <row r="867" spans="2:5" ht="13.25" customHeight="1">
      <c r="B867" s="203">
        <v>42249</v>
      </c>
      <c r="C867" s="202">
        <v>3.0897890000000001</v>
      </c>
      <c r="D867" s="202">
        <v>2.3405100000000001</v>
      </c>
      <c r="E867" s="3"/>
    </row>
    <row r="868" spans="2:5" ht="13.25" customHeight="1">
      <c r="B868" s="203">
        <v>42250</v>
      </c>
      <c r="C868" s="202">
        <v>3.2021459999999999</v>
      </c>
      <c r="D868" s="202">
        <v>5.116168</v>
      </c>
      <c r="E868" s="3"/>
    </row>
    <row r="869" spans="2:5" ht="13.25" customHeight="1">
      <c r="B869" s="203">
        <v>42251</v>
      </c>
      <c r="C869" s="202">
        <v>3.1085159999999998</v>
      </c>
      <c r="D869" s="202">
        <v>3.3381099999999999</v>
      </c>
      <c r="E869" s="3"/>
    </row>
    <row r="870" spans="2:5" ht="13.25" customHeight="1">
      <c r="B870" s="203">
        <v>42254</v>
      </c>
      <c r="C870" s="202">
        <v>3.141286</v>
      </c>
      <c r="D870" s="202">
        <v>1.1151420000000001</v>
      </c>
      <c r="E870" s="3"/>
    </row>
    <row r="871" spans="2:5" ht="13.25" customHeight="1">
      <c r="B871" s="203">
        <v>42255</v>
      </c>
      <c r="C871" s="202">
        <v>3.1693750000000001</v>
      </c>
      <c r="D871" s="202">
        <v>3.2301579999999999</v>
      </c>
      <c r="E871" s="3"/>
    </row>
    <row r="872" spans="2:5" ht="13.25" customHeight="1">
      <c r="B872" s="203">
        <v>42256</v>
      </c>
      <c r="C872" s="202">
        <v>3.2653460000000001</v>
      </c>
      <c r="D872" s="202">
        <v>4.6921200000000001</v>
      </c>
      <c r="E872" s="3"/>
    </row>
    <row r="873" spans="2:5" ht="13.25" customHeight="1">
      <c r="B873" s="203">
        <v>42257</v>
      </c>
      <c r="C873" s="202">
        <v>3.3051379999999999</v>
      </c>
      <c r="D873" s="202">
        <v>4.217498</v>
      </c>
      <c r="E873" s="3"/>
    </row>
    <row r="874" spans="2:5" ht="13.25" customHeight="1">
      <c r="B874" s="203">
        <v>42258</v>
      </c>
      <c r="C874" s="202">
        <v>3.2466200000000001</v>
      </c>
      <c r="D874" s="202">
        <v>2.6385399999999999</v>
      </c>
      <c r="E874" s="3"/>
    </row>
    <row r="875" spans="2:5" ht="13.25" customHeight="1">
      <c r="B875" s="203">
        <v>42261</v>
      </c>
      <c r="C875" s="202">
        <v>3.2583229999999999</v>
      </c>
      <c r="D875" s="202">
        <v>2.7903660000000001</v>
      </c>
      <c r="E875" s="3"/>
    </row>
    <row r="876" spans="2:5" ht="13.25" customHeight="1">
      <c r="B876" s="203">
        <v>42262</v>
      </c>
      <c r="C876" s="202">
        <v>3.2630050000000002</v>
      </c>
      <c r="D876" s="202">
        <v>1.96526</v>
      </c>
      <c r="E876" s="3"/>
    </row>
    <row r="877" spans="2:5" ht="13.25" customHeight="1">
      <c r="B877" s="203">
        <v>42263</v>
      </c>
      <c r="C877" s="202">
        <v>3.3308870000000002</v>
      </c>
      <c r="D877" s="202">
        <v>4.464626</v>
      </c>
      <c r="E877" s="3"/>
    </row>
    <row r="878" spans="2:5" ht="13.25" customHeight="1">
      <c r="B878" s="203">
        <v>42264</v>
      </c>
      <c r="C878" s="202">
        <v>3.3542939999999999</v>
      </c>
      <c r="D878" s="202">
        <v>2.3969640000000001</v>
      </c>
      <c r="E878" s="3"/>
    </row>
    <row r="879" spans="2:5" ht="13.25" customHeight="1">
      <c r="B879" s="203">
        <v>42265</v>
      </c>
      <c r="C879" s="202">
        <v>3.3004570000000002</v>
      </c>
      <c r="D879" s="202">
        <v>4.3294319999999997</v>
      </c>
      <c r="E879" s="3"/>
    </row>
    <row r="880" spans="2:5" ht="13.25" customHeight="1">
      <c r="B880" s="203">
        <v>42268</v>
      </c>
      <c r="C880" s="202">
        <v>3.3777020000000002</v>
      </c>
      <c r="D880" s="202">
        <v>2.0537359999999998</v>
      </c>
      <c r="E880" s="3"/>
    </row>
    <row r="881" spans="2:5" ht="13.25" customHeight="1">
      <c r="B881" s="203">
        <v>42269</v>
      </c>
      <c r="C881" s="202">
        <v>3.2723680000000002</v>
      </c>
      <c r="D881" s="202">
        <v>3.0371839999999999</v>
      </c>
      <c r="E881" s="3"/>
    </row>
    <row r="882" spans="2:5" ht="13.25" customHeight="1">
      <c r="B882" s="203">
        <v>42270</v>
      </c>
      <c r="C882" s="202">
        <v>3.3145009999999999</v>
      </c>
      <c r="D882" s="202">
        <v>3.7701220000000002</v>
      </c>
      <c r="E882" s="3"/>
    </row>
    <row r="883" spans="2:5" ht="13.25" customHeight="1">
      <c r="B883" s="203">
        <v>42271</v>
      </c>
      <c r="C883" s="202">
        <v>3.267687</v>
      </c>
      <c r="D883" s="202">
        <v>2.2558539999999998</v>
      </c>
      <c r="E883" s="3"/>
    </row>
    <row r="884" spans="2:5" ht="13.25" customHeight="1">
      <c r="B884" s="203">
        <v>42272</v>
      </c>
      <c r="C884" s="202">
        <v>3.3238639999999999</v>
      </c>
      <c r="D884" s="202">
        <v>3.6059260000000002</v>
      </c>
      <c r="E884" s="3"/>
    </row>
    <row r="885" spans="2:5" ht="13.25" customHeight="1">
      <c r="B885" s="203">
        <v>42275</v>
      </c>
      <c r="C885" s="202">
        <v>3.2653460000000001</v>
      </c>
      <c r="D885" s="202">
        <v>3.5495220000000001</v>
      </c>
      <c r="E885" s="3"/>
    </row>
    <row r="886" spans="2:5" ht="13.25" customHeight="1">
      <c r="B886" s="203">
        <v>42276</v>
      </c>
      <c r="C886" s="202">
        <v>3.239598</v>
      </c>
      <c r="D886" s="202">
        <v>5.4831260000000004</v>
      </c>
      <c r="E886" s="3"/>
    </row>
    <row r="887" spans="2:5" ht="13.25" customHeight="1">
      <c r="B887" s="203">
        <v>42277</v>
      </c>
      <c r="C887" s="202">
        <v>3.3332269999999999</v>
      </c>
      <c r="D887" s="202">
        <v>4.9022839999999999</v>
      </c>
      <c r="E887" s="3"/>
    </row>
    <row r="888" spans="2:5" ht="13.25" customHeight="1">
      <c r="B888" s="203">
        <v>42278</v>
      </c>
      <c r="C888" s="202">
        <v>3.3262049999999999</v>
      </c>
      <c r="D888" s="202">
        <v>5.7048940000000004</v>
      </c>
      <c r="E888" s="3"/>
    </row>
    <row r="889" spans="2:5" ht="13.25" customHeight="1">
      <c r="B889" s="203">
        <v>42279</v>
      </c>
      <c r="C889" s="202">
        <v>3.3262049999999999</v>
      </c>
      <c r="D889" s="202">
        <v>6.9483079999999999</v>
      </c>
      <c r="E889" s="3"/>
    </row>
    <row r="890" spans="2:5" ht="13.25" customHeight="1">
      <c r="B890" s="203">
        <v>42282</v>
      </c>
      <c r="C890" s="202">
        <v>3.3964279999999998</v>
      </c>
      <c r="D890" s="202">
        <v>5.357056</v>
      </c>
      <c r="E890" s="3"/>
    </row>
    <row r="891" spans="2:5" ht="13.25" customHeight="1">
      <c r="B891" s="203">
        <v>42283</v>
      </c>
      <c r="C891" s="202">
        <v>3.4643099999999998</v>
      </c>
      <c r="D891" s="202">
        <v>4.4572279999999997</v>
      </c>
      <c r="E891" s="3"/>
    </row>
    <row r="892" spans="2:5" ht="13.25" customHeight="1">
      <c r="B892" s="203">
        <v>42284</v>
      </c>
      <c r="C892" s="202">
        <v>3.370679</v>
      </c>
      <c r="D892" s="202">
        <v>4.490462</v>
      </c>
      <c r="E892" s="3"/>
    </row>
    <row r="893" spans="2:5" ht="13.25" customHeight="1">
      <c r="B893" s="203">
        <v>42285</v>
      </c>
      <c r="C893" s="202">
        <v>3.4057909999999998</v>
      </c>
      <c r="D893" s="202">
        <v>2.5710199999999999</v>
      </c>
      <c r="E893" s="3"/>
    </row>
    <row r="894" spans="2:5" ht="13.25" customHeight="1">
      <c r="B894" s="203">
        <v>42286</v>
      </c>
      <c r="C894" s="202">
        <v>3.4362200000000001</v>
      </c>
      <c r="D894" s="202">
        <v>2.490472</v>
      </c>
      <c r="E894" s="3"/>
    </row>
    <row r="895" spans="2:5" ht="13.25" customHeight="1">
      <c r="B895" s="203">
        <v>42289</v>
      </c>
      <c r="C895" s="202">
        <v>3.4736729999999998</v>
      </c>
      <c r="D895" s="202">
        <v>2.5380379999999998</v>
      </c>
      <c r="E895" s="3"/>
    </row>
    <row r="896" spans="2:5" ht="13.25" customHeight="1">
      <c r="B896" s="203">
        <v>42290</v>
      </c>
      <c r="C896" s="202">
        <v>3.506443</v>
      </c>
      <c r="D896" s="202">
        <v>4.1359620000000001</v>
      </c>
      <c r="E896" s="3"/>
    </row>
    <row r="897" spans="2:5" ht="13.25" customHeight="1">
      <c r="B897" s="203">
        <v>42291</v>
      </c>
      <c r="C897" s="202">
        <v>3.4643099999999998</v>
      </c>
      <c r="D897" s="202">
        <v>3.06054</v>
      </c>
      <c r="E897" s="3"/>
    </row>
    <row r="898" spans="2:5" ht="13.25" customHeight="1">
      <c r="B898" s="203">
        <v>42292</v>
      </c>
      <c r="C898" s="202">
        <v>3.5321910000000001</v>
      </c>
      <c r="D898" s="202">
        <v>3.20424</v>
      </c>
      <c r="E898" s="3"/>
    </row>
    <row r="899" spans="2:5" ht="13.25" customHeight="1">
      <c r="B899" s="203">
        <v>42293</v>
      </c>
      <c r="C899" s="202">
        <v>3.5392130000000002</v>
      </c>
      <c r="D899" s="202">
        <v>2.74884</v>
      </c>
      <c r="E899" s="3"/>
    </row>
    <row r="900" spans="2:5" ht="13.25" customHeight="1">
      <c r="B900" s="203">
        <v>42296</v>
      </c>
      <c r="C900" s="202">
        <v>3.5907100000000001</v>
      </c>
      <c r="D900" s="202">
        <v>2.6460720000000002</v>
      </c>
      <c r="E900" s="3"/>
    </row>
    <row r="901" spans="2:5" ht="13.25" customHeight="1">
      <c r="B901" s="203">
        <v>42297</v>
      </c>
      <c r="C901" s="202">
        <v>3.5860289999999999</v>
      </c>
      <c r="D901" s="202">
        <v>1.888898</v>
      </c>
      <c r="E901" s="3"/>
    </row>
    <row r="902" spans="2:5" ht="13.25" customHeight="1">
      <c r="B902" s="203">
        <v>42298</v>
      </c>
      <c r="C902" s="202">
        <v>3.5415540000000001</v>
      </c>
      <c r="D902" s="202">
        <v>2.088616</v>
      </c>
      <c r="E902" s="3"/>
    </row>
    <row r="903" spans="2:5" ht="13.25" customHeight="1">
      <c r="B903" s="203">
        <v>42299</v>
      </c>
      <c r="C903" s="202">
        <v>3.6000730000000001</v>
      </c>
      <c r="D903" s="202">
        <v>2.9309099999999999</v>
      </c>
      <c r="E903" s="3"/>
    </row>
    <row r="904" spans="2:5" ht="13.25" customHeight="1">
      <c r="B904" s="203">
        <v>42300</v>
      </c>
      <c r="C904" s="202">
        <v>3.6375250000000001</v>
      </c>
      <c r="D904" s="202">
        <v>3.4922840000000002</v>
      </c>
      <c r="E904" s="3"/>
    </row>
    <row r="905" spans="2:5" ht="13.25" customHeight="1">
      <c r="B905" s="203">
        <v>42303</v>
      </c>
      <c r="C905" s="202">
        <v>3.6328429999999998</v>
      </c>
      <c r="D905" s="202">
        <v>1.5781019999999999</v>
      </c>
      <c r="E905" s="3"/>
    </row>
    <row r="906" spans="2:5" ht="13.25" customHeight="1">
      <c r="B906" s="203">
        <v>42304</v>
      </c>
      <c r="C906" s="202">
        <v>3.6468880000000001</v>
      </c>
      <c r="D906" s="202">
        <v>2.4998680000000002</v>
      </c>
      <c r="E906" s="3"/>
    </row>
    <row r="907" spans="2:5" ht="13.25" customHeight="1">
      <c r="B907" s="203">
        <v>42305</v>
      </c>
      <c r="C907" s="202">
        <v>3.7077469999999999</v>
      </c>
      <c r="D907" s="202">
        <v>3.7663579999999999</v>
      </c>
      <c r="E907" s="3"/>
    </row>
    <row r="908" spans="2:5" ht="13.25" customHeight="1">
      <c r="B908" s="203">
        <v>42306</v>
      </c>
      <c r="C908" s="202">
        <v>3.6351840000000002</v>
      </c>
      <c r="D908" s="202">
        <v>3.658436</v>
      </c>
      <c r="E908" s="3"/>
    </row>
    <row r="909" spans="2:5" ht="13.25" customHeight="1">
      <c r="B909" s="203">
        <v>42307</v>
      </c>
      <c r="C909" s="202">
        <v>3.6468880000000001</v>
      </c>
      <c r="D909" s="202">
        <v>2.0230419999999998</v>
      </c>
      <c r="E909" s="3"/>
    </row>
    <row r="910" spans="2:5" ht="13.25" customHeight="1">
      <c r="B910" s="203">
        <v>42310</v>
      </c>
      <c r="C910" s="202">
        <v>3.6492290000000001</v>
      </c>
      <c r="D910" s="202">
        <v>2.109048</v>
      </c>
      <c r="E910" s="3"/>
    </row>
    <row r="911" spans="2:5" ht="13.25" customHeight="1">
      <c r="B911" s="203">
        <v>42311</v>
      </c>
      <c r="C911" s="202">
        <v>3.6679550000000001</v>
      </c>
      <c r="D911" s="202">
        <v>2.06792</v>
      </c>
      <c r="E911" s="3"/>
    </row>
    <row r="912" spans="2:5" ht="13.25" customHeight="1">
      <c r="B912" s="203">
        <v>42312</v>
      </c>
      <c r="C912" s="202">
        <v>3.6328429999999998</v>
      </c>
      <c r="D912" s="202">
        <v>1.59552</v>
      </c>
      <c r="E912" s="3"/>
    </row>
    <row r="913" spans="2:5" ht="13.25" customHeight="1">
      <c r="B913" s="203">
        <v>42313</v>
      </c>
      <c r="C913" s="202">
        <v>3.6960440000000001</v>
      </c>
      <c r="D913" s="202">
        <v>3.1623800000000002</v>
      </c>
      <c r="E913" s="3"/>
    </row>
    <row r="914" spans="2:5" ht="13.25" customHeight="1">
      <c r="B914" s="203">
        <v>42314</v>
      </c>
      <c r="C914" s="202">
        <v>3.6749770000000002</v>
      </c>
      <c r="D914" s="202">
        <v>2.57517</v>
      </c>
      <c r="E914" s="3"/>
    </row>
    <row r="915" spans="2:5" ht="13.25" customHeight="1">
      <c r="B915" s="203">
        <v>42317</v>
      </c>
      <c r="C915" s="202">
        <v>3.5790060000000001</v>
      </c>
      <c r="D915" s="202">
        <v>3.098446</v>
      </c>
      <c r="E915" s="3"/>
    </row>
    <row r="916" spans="2:5" ht="13.25" customHeight="1">
      <c r="B916" s="203">
        <v>42318</v>
      </c>
      <c r="C916" s="202">
        <v>3.7217920000000002</v>
      </c>
      <c r="D916" s="202">
        <v>4.0755460000000001</v>
      </c>
      <c r="E916" s="3"/>
    </row>
    <row r="917" spans="2:5" ht="13.25" customHeight="1">
      <c r="B917" s="203">
        <v>42319</v>
      </c>
      <c r="C917" s="202">
        <v>3.7451989999999999</v>
      </c>
      <c r="D917" s="202">
        <v>10.868328</v>
      </c>
      <c r="E917" s="3"/>
    </row>
    <row r="918" spans="2:5" ht="13.25" customHeight="1">
      <c r="B918" s="203">
        <v>42320</v>
      </c>
      <c r="C918" s="202">
        <v>3.7428590000000002</v>
      </c>
      <c r="D918" s="202">
        <v>4.9235980000000001</v>
      </c>
      <c r="E918" s="3"/>
    </row>
    <row r="919" spans="2:5" ht="13.25" customHeight="1">
      <c r="B919" s="203">
        <v>42321</v>
      </c>
      <c r="C919" s="202">
        <v>3.7334960000000001</v>
      </c>
      <c r="D919" s="202">
        <v>5.3009919999999999</v>
      </c>
      <c r="E919" s="3"/>
    </row>
    <row r="920" spans="2:5" ht="13.25" customHeight="1">
      <c r="B920" s="203">
        <v>42324</v>
      </c>
      <c r="C920" s="202">
        <v>3.782651</v>
      </c>
      <c r="D920" s="202">
        <v>3.628844</v>
      </c>
      <c r="E920" s="3"/>
    </row>
    <row r="921" spans="2:5" ht="13.25" customHeight="1">
      <c r="B921" s="203">
        <v>42325</v>
      </c>
      <c r="C921" s="202">
        <v>3.7966959999999998</v>
      </c>
      <c r="D921" s="202">
        <v>3.4438620000000002</v>
      </c>
      <c r="E921" s="3"/>
    </row>
    <row r="922" spans="2:5" ht="13.25" customHeight="1">
      <c r="B922" s="203">
        <v>42326</v>
      </c>
      <c r="C922" s="202">
        <v>3.7592439999999998</v>
      </c>
      <c r="D922" s="202">
        <v>1.7114180000000001</v>
      </c>
      <c r="E922" s="3"/>
    </row>
    <row r="923" spans="2:5" ht="13.25" customHeight="1">
      <c r="B923" s="203">
        <v>42327</v>
      </c>
      <c r="C923" s="202">
        <v>3.869259</v>
      </c>
      <c r="D923" s="202">
        <v>3.3616640000000002</v>
      </c>
      <c r="E923" s="3"/>
    </row>
    <row r="924" spans="2:5" ht="13.25" customHeight="1">
      <c r="B924" s="203">
        <v>42328</v>
      </c>
      <c r="C924" s="202">
        <v>3.8715999999999999</v>
      </c>
      <c r="D924" s="202">
        <v>4.0451240000000004</v>
      </c>
      <c r="E924" s="3"/>
    </row>
    <row r="925" spans="2:5" ht="13.25" customHeight="1">
      <c r="B925" s="203">
        <v>42331</v>
      </c>
      <c r="C925" s="202">
        <v>3.8528739999999999</v>
      </c>
      <c r="D925" s="202">
        <v>3.3682120000000002</v>
      </c>
      <c r="E925" s="3"/>
    </row>
    <row r="926" spans="2:5" ht="13.25" customHeight="1">
      <c r="B926" s="203">
        <v>42332</v>
      </c>
      <c r="C926" s="202">
        <v>3.7756289999999999</v>
      </c>
      <c r="D926" s="202">
        <v>3.341418</v>
      </c>
      <c r="E926" s="3"/>
    </row>
    <row r="927" spans="2:5" ht="13.25" customHeight="1">
      <c r="B927" s="203">
        <v>42333</v>
      </c>
      <c r="C927" s="202">
        <v>3.897348</v>
      </c>
      <c r="D927" s="202">
        <v>3.8067500000000001</v>
      </c>
      <c r="E927" s="3"/>
    </row>
    <row r="928" spans="2:5" ht="13.25" customHeight="1">
      <c r="B928" s="203">
        <v>42334</v>
      </c>
      <c r="C928" s="202">
        <v>3.8575550000000001</v>
      </c>
      <c r="D928" s="202">
        <v>3.0634540000000001</v>
      </c>
      <c r="E928" s="3"/>
    </row>
    <row r="929" spans="2:5" ht="13.25" customHeight="1">
      <c r="B929" s="203">
        <v>42335</v>
      </c>
      <c r="C929" s="202">
        <v>3.8552140000000001</v>
      </c>
      <c r="D929" s="202">
        <v>1.981698</v>
      </c>
      <c r="E929" s="3"/>
    </row>
    <row r="930" spans="2:5" ht="13.25" customHeight="1">
      <c r="B930" s="203">
        <v>42338</v>
      </c>
      <c r="C930" s="202">
        <v>3.8926669999999999</v>
      </c>
      <c r="D930" s="202">
        <v>2.9307780000000001</v>
      </c>
      <c r="E930" s="3"/>
    </row>
    <row r="931" spans="2:5" ht="13.25" customHeight="1">
      <c r="B931" s="203">
        <v>42339</v>
      </c>
      <c r="C931" s="202">
        <v>3.9160740000000001</v>
      </c>
      <c r="D931" s="202">
        <v>4.3951039999999999</v>
      </c>
      <c r="E931" s="3"/>
    </row>
    <row r="932" spans="2:5" ht="13.25" customHeight="1">
      <c r="B932" s="203">
        <v>42340</v>
      </c>
      <c r="C932" s="202">
        <v>3.9394819999999999</v>
      </c>
      <c r="D932" s="202">
        <v>2.0100440000000002</v>
      </c>
      <c r="E932" s="3"/>
    </row>
    <row r="933" spans="2:5" ht="13.25" customHeight="1">
      <c r="B933" s="203">
        <v>42341</v>
      </c>
      <c r="C933" s="202">
        <v>3.7428590000000002</v>
      </c>
      <c r="D933" s="202">
        <v>6.9676819999999999</v>
      </c>
      <c r="E933" s="3"/>
    </row>
    <row r="934" spans="2:5" ht="13.25" customHeight="1">
      <c r="B934" s="203">
        <v>42342</v>
      </c>
      <c r="C934" s="202">
        <v>3.7311550000000002</v>
      </c>
      <c r="D934" s="202">
        <v>5.3436380000000003</v>
      </c>
      <c r="E934" s="3"/>
    </row>
    <row r="935" spans="2:5" ht="13.25" customHeight="1">
      <c r="B935" s="203">
        <v>42345</v>
      </c>
      <c r="C935" s="202">
        <v>3.8341479999999999</v>
      </c>
      <c r="D935" s="202">
        <v>3.1965439999999998</v>
      </c>
      <c r="E935" s="3"/>
    </row>
    <row r="936" spans="2:5" ht="13.25" customHeight="1">
      <c r="B936" s="203">
        <v>42346</v>
      </c>
      <c r="C936" s="202">
        <v>3.7756289999999999</v>
      </c>
      <c r="D936" s="202">
        <v>2.4550580000000002</v>
      </c>
      <c r="E936" s="3"/>
    </row>
    <row r="937" spans="2:5" ht="13.25" customHeight="1">
      <c r="B937" s="203">
        <v>42347</v>
      </c>
      <c r="C937" s="202">
        <v>3.7030660000000002</v>
      </c>
      <c r="D937" s="202">
        <v>2.9378199999999999</v>
      </c>
      <c r="E937" s="3"/>
    </row>
    <row r="938" spans="2:5" ht="13.25" customHeight="1">
      <c r="B938" s="203">
        <v>42348</v>
      </c>
      <c r="C938" s="202">
        <v>3.7007249999999998</v>
      </c>
      <c r="D938" s="202">
        <v>3.6342439999999998</v>
      </c>
      <c r="E938" s="3"/>
    </row>
    <row r="939" spans="2:5" ht="13.25" customHeight="1">
      <c r="B939" s="203">
        <v>42349</v>
      </c>
      <c r="C939" s="202">
        <v>3.6796579999999999</v>
      </c>
      <c r="D939" s="202">
        <v>2.9738760000000002</v>
      </c>
      <c r="E939" s="3"/>
    </row>
    <row r="940" spans="2:5" ht="13.25" customHeight="1">
      <c r="B940" s="203">
        <v>42352</v>
      </c>
      <c r="C940" s="202">
        <v>3.5766650000000002</v>
      </c>
      <c r="D940" s="202">
        <v>3.1802820000000001</v>
      </c>
      <c r="E940" s="3"/>
    </row>
    <row r="941" spans="2:5" ht="13.25" customHeight="1">
      <c r="B941" s="203">
        <v>42353</v>
      </c>
      <c r="C941" s="202">
        <v>3.7171099999999999</v>
      </c>
      <c r="D941" s="202">
        <v>3.7861359999999999</v>
      </c>
      <c r="E941" s="3"/>
    </row>
    <row r="942" spans="2:5" ht="13.25" customHeight="1">
      <c r="B942" s="203">
        <v>42354</v>
      </c>
      <c r="C942" s="202">
        <v>3.7686069999999998</v>
      </c>
      <c r="D942" s="202">
        <v>2.853602</v>
      </c>
      <c r="E942" s="3"/>
    </row>
    <row r="943" spans="2:5" ht="13.25" customHeight="1">
      <c r="B943" s="203">
        <v>42355</v>
      </c>
      <c r="C943" s="202">
        <v>3.782651</v>
      </c>
      <c r="D943" s="202">
        <v>3.8026179999999998</v>
      </c>
      <c r="E943" s="3"/>
    </row>
    <row r="944" spans="2:5" ht="13.25" customHeight="1">
      <c r="B944" s="203">
        <v>42356</v>
      </c>
      <c r="C944" s="202">
        <v>3.7475399999999999</v>
      </c>
      <c r="D944" s="202">
        <v>3.0159180000000001</v>
      </c>
      <c r="E944" s="3"/>
    </row>
    <row r="945" spans="2:5" ht="13.25" customHeight="1">
      <c r="B945" s="203">
        <v>42359</v>
      </c>
      <c r="C945" s="202">
        <v>3.689022</v>
      </c>
      <c r="D945" s="202">
        <v>1.847836</v>
      </c>
      <c r="E945" s="3"/>
    </row>
    <row r="946" spans="2:5" ht="13.25" customHeight="1">
      <c r="B946" s="203">
        <v>42360</v>
      </c>
      <c r="C946" s="202">
        <v>3.5953909999999998</v>
      </c>
      <c r="D946" s="202">
        <v>2.4385020000000002</v>
      </c>
      <c r="E946" s="3"/>
    </row>
    <row r="947" spans="2:5" ht="13.25" customHeight="1">
      <c r="B947" s="203">
        <v>42361</v>
      </c>
      <c r="C947" s="202">
        <v>3.7030660000000002</v>
      </c>
      <c r="D947" s="202">
        <v>1.7499579999999999</v>
      </c>
      <c r="E947" s="3"/>
    </row>
    <row r="948" spans="2:5" ht="13.25" customHeight="1">
      <c r="B948" s="203">
        <v>42366</v>
      </c>
      <c r="C948" s="202">
        <v>3.6796579999999999</v>
      </c>
      <c r="D948" s="202">
        <v>0.75117199999999995</v>
      </c>
      <c r="E948" s="3"/>
    </row>
    <row r="949" spans="2:5" ht="13.25" customHeight="1">
      <c r="B949" s="203">
        <v>42367</v>
      </c>
      <c r="C949" s="202">
        <v>3.7873329999999998</v>
      </c>
      <c r="D949" s="202">
        <v>1.8827560000000001</v>
      </c>
      <c r="E949" s="3"/>
    </row>
    <row r="950" spans="2:5" ht="13.25" customHeight="1">
      <c r="B950" s="203">
        <v>42368</v>
      </c>
      <c r="C950" s="202">
        <v>3.7451989999999999</v>
      </c>
      <c r="D950" s="202">
        <v>1.206426</v>
      </c>
      <c r="E950" s="3"/>
    </row>
    <row r="951" spans="2:5" ht="13.25" customHeight="1">
      <c r="B951" s="203">
        <v>42369</v>
      </c>
      <c r="C951" s="202">
        <v>3.7451989999999999</v>
      </c>
      <c r="D951" s="202">
        <v>0</v>
      </c>
      <c r="E951" s="3"/>
    </row>
    <row r="952" spans="2:5" ht="13.25" customHeight="1">
      <c r="B952" s="203">
        <v>42373</v>
      </c>
      <c r="C952" s="202">
        <v>3.630503</v>
      </c>
      <c r="D952" s="202">
        <v>2.9451299999999998</v>
      </c>
      <c r="E952" s="3"/>
    </row>
    <row r="953" spans="2:5" ht="13.25" customHeight="1">
      <c r="B953" s="203">
        <v>42374</v>
      </c>
      <c r="C953" s="202">
        <v>3.6913619999999998</v>
      </c>
      <c r="D953" s="202">
        <v>1.977768</v>
      </c>
      <c r="E953" s="3"/>
    </row>
    <row r="954" spans="2:5" ht="13.25" customHeight="1">
      <c r="B954" s="203">
        <v>42375</v>
      </c>
      <c r="C954" s="202">
        <v>3.6351840000000002</v>
      </c>
      <c r="D954" s="202">
        <v>2.1082399999999999</v>
      </c>
      <c r="E954" s="3"/>
    </row>
    <row r="955" spans="2:5" ht="13.25" customHeight="1">
      <c r="B955" s="203">
        <v>42376</v>
      </c>
      <c r="C955" s="202">
        <v>3.5509170000000001</v>
      </c>
      <c r="D955" s="202">
        <v>3.855864</v>
      </c>
      <c r="E955" s="3"/>
    </row>
    <row r="956" spans="2:5" ht="13.25" customHeight="1">
      <c r="B956" s="203">
        <v>42377</v>
      </c>
      <c r="C956" s="202">
        <v>3.5415540000000001</v>
      </c>
      <c r="D956" s="202">
        <v>2.208548</v>
      </c>
      <c r="E956" s="3"/>
    </row>
    <row r="957" spans="2:5" ht="13.25" customHeight="1">
      <c r="B957" s="203">
        <v>42380</v>
      </c>
      <c r="C957" s="202">
        <v>3.5813470000000001</v>
      </c>
      <c r="D957" s="202">
        <v>2.312144</v>
      </c>
      <c r="E957" s="3"/>
    </row>
    <row r="958" spans="2:5" ht="13.25" customHeight="1">
      <c r="B958" s="203">
        <v>42381</v>
      </c>
      <c r="C958" s="202">
        <v>3.6609319999999999</v>
      </c>
      <c r="D958" s="202">
        <v>2.8736519999999999</v>
      </c>
      <c r="E958" s="3"/>
    </row>
    <row r="959" spans="2:5" ht="13.25" customHeight="1">
      <c r="B959" s="203">
        <v>42382</v>
      </c>
      <c r="C959" s="202">
        <v>3.7171099999999999</v>
      </c>
      <c r="D959" s="202">
        <v>3.6356419999999998</v>
      </c>
      <c r="E959" s="3"/>
    </row>
    <row r="960" spans="2:5" ht="13.25" customHeight="1">
      <c r="B960" s="203">
        <v>42383</v>
      </c>
      <c r="C960" s="202">
        <v>3.6047539999999998</v>
      </c>
      <c r="D960" s="202">
        <v>3.264192</v>
      </c>
      <c r="E960" s="3"/>
    </row>
    <row r="961" spans="2:5" ht="13.25" customHeight="1">
      <c r="B961" s="203">
        <v>42384</v>
      </c>
      <c r="C961" s="202">
        <v>3.5579390000000002</v>
      </c>
      <c r="D961" s="202">
        <v>3.5779320000000001</v>
      </c>
      <c r="E961" s="3"/>
    </row>
    <row r="962" spans="2:5" ht="13.25" customHeight="1">
      <c r="B962" s="203">
        <v>42387</v>
      </c>
      <c r="C962" s="202">
        <v>3.5134650000000001</v>
      </c>
      <c r="D962" s="202">
        <v>2.224634</v>
      </c>
      <c r="E962" s="3"/>
    </row>
    <row r="963" spans="2:5" ht="13.25" customHeight="1">
      <c r="B963" s="203">
        <v>42388</v>
      </c>
      <c r="C963" s="202">
        <v>3.5977320000000002</v>
      </c>
      <c r="D963" s="202">
        <v>1.9788300000000001</v>
      </c>
      <c r="E963" s="3"/>
    </row>
    <row r="964" spans="2:5" ht="13.25" customHeight="1">
      <c r="B964" s="203">
        <v>42389</v>
      </c>
      <c r="C964" s="202">
        <v>3.4643099999999998</v>
      </c>
      <c r="D964" s="202">
        <v>4.8468080000000002</v>
      </c>
      <c r="E964" s="3"/>
    </row>
    <row r="965" spans="2:5" ht="13.25" customHeight="1">
      <c r="B965" s="203">
        <v>42390</v>
      </c>
      <c r="C965" s="202">
        <v>3.5368719999999998</v>
      </c>
      <c r="D965" s="202">
        <v>3.8725139999999998</v>
      </c>
      <c r="E965" s="3"/>
    </row>
    <row r="966" spans="2:5" ht="13.25" customHeight="1">
      <c r="B966" s="203">
        <v>42391</v>
      </c>
      <c r="C966" s="202">
        <v>3.593051</v>
      </c>
      <c r="D966" s="202">
        <v>4.01633</v>
      </c>
      <c r="E966" s="3"/>
    </row>
    <row r="967" spans="2:5" ht="13.25" customHeight="1">
      <c r="B967" s="203">
        <v>42394</v>
      </c>
      <c r="C967" s="202">
        <v>3.6351840000000002</v>
      </c>
      <c r="D967" s="202">
        <v>2.9860880000000001</v>
      </c>
      <c r="E967" s="3"/>
    </row>
    <row r="968" spans="2:5" ht="13.25" customHeight="1">
      <c r="B968" s="203">
        <v>42395</v>
      </c>
      <c r="C968" s="202">
        <v>3.6749770000000002</v>
      </c>
      <c r="D968" s="202">
        <v>2.4745439999999999</v>
      </c>
      <c r="E968" s="3"/>
    </row>
    <row r="969" spans="2:5" ht="13.25" customHeight="1">
      <c r="B969" s="203">
        <v>42396</v>
      </c>
      <c r="C969" s="202">
        <v>3.698385</v>
      </c>
      <c r="D969" s="202">
        <v>2.5642040000000001</v>
      </c>
      <c r="E969" s="3"/>
    </row>
    <row r="970" spans="2:5" ht="13.25" customHeight="1">
      <c r="B970" s="203">
        <v>42397</v>
      </c>
      <c r="C970" s="202">
        <v>3.6000730000000001</v>
      </c>
      <c r="D970" s="202">
        <v>5.1727720000000001</v>
      </c>
      <c r="E970" s="3"/>
    </row>
    <row r="971" spans="2:5" ht="13.25" customHeight="1">
      <c r="B971" s="203">
        <v>42398</v>
      </c>
      <c r="C971" s="202">
        <v>3.7756289999999999</v>
      </c>
      <c r="D971" s="202">
        <v>2.8826559999999999</v>
      </c>
      <c r="E971" s="3"/>
    </row>
    <row r="972" spans="2:5" ht="13.25" customHeight="1">
      <c r="B972" s="203">
        <v>42401</v>
      </c>
      <c r="C972" s="202">
        <v>3.7545630000000001</v>
      </c>
      <c r="D972" s="202">
        <v>3.0631680000000001</v>
      </c>
      <c r="E972" s="3"/>
    </row>
    <row r="973" spans="2:5" ht="13.25" customHeight="1">
      <c r="B973" s="203">
        <v>42402</v>
      </c>
      <c r="C973" s="202">
        <v>3.7405179999999998</v>
      </c>
      <c r="D973" s="202">
        <v>2.6653180000000001</v>
      </c>
      <c r="E973" s="3"/>
    </row>
    <row r="974" spans="2:5" ht="13.25" customHeight="1">
      <c r="B974" s="203">
        <v>42403</v>
      </c>
      <c r="C974" s="202">
        <v>3.6609319999999999</v>
      </c>
      <c r="D974" s="202">
        <v>4.3626259999999997</v>
      </c>
      <c r="E974" s="3"/>
    </row>
    <row r="975" spans="2:5" ht="13.25" customHeight="1">
      <c r="B975" s="203">
        <v>42404</v>
      </c>
      <c r="C975" s="202">
        <v>3.5017610000000001</v>
      </c>
      <c r="D975" s="202">
        <v>6.0648619999999998</v>
      </c>
      <c r="E975" s="3"/>
    </row>
    <row r="976" spans="2:5" ht="13.25" customHeight="1">
      <c r="B976" s="203">
        <v>42405</v>
      </c>
      <c r="C976" s="202">
        <v>3.4736729999999998</v>
      </c>
      <c r="D976" s="202">
        <v>4.9695840000000002</v>
      </c>
      <c r="E976" s="3"/>
    </row>
    <row r="977" spans="2:5" ht="13.25" customHeight="1">
      <c r="B977" s="203">
        <v>42408</v>
      </c>
      <c r="C977" s="202">
        <v>3.3098200000000002</v>
      </c>
      <c r="D977" s="202">
        <v>4.3240460000000001</v>
      </c>
      <c r="E977" s="3"/>
    </row>
    <row r="978" spans="2:5" ht="13.25" customHeight="1">
      <c r="B978" s="203">
        <v>42409</v>
      </c>
      <c r="C978" s="202">
        <v>3.361316</v>
      </c>
      <c r="D978" s="202">
        <v>5.7307579999999998</v>
      </c>
      <c r="E978" s="3"/>
    </row>
    <row r="979" spans="2:5" ht="13.25" customHeight="1">
      <c r="B979" s="203">
        <v>42410</v>
      </c>
      <c r="C979" s="202">
        <v>3.438561</v>
      </c>
      <c r="D979" s="202">
        <v>3.3470080000000002</v>
      </c>
      <c r="E979" s="3"/>
    </row>
    <row r="980" spans="2:5" ht="13.25" customHeight="1">
      <c r="B980" s="203">
        <v>42411</v>
      </c>
      <c r="C980" s="202">
        <v>3.2489599999999998</v>
      </c>
      <c r="D980" s="202">
        <v>3.7988879999999998</v>
      </c>
      <c r="E980" s="3"/>
    </row>
    <row r="981" spans="2:5" ht="13.25" customHeight="1">
      <c r="B981" s="203">
        <v>42412</v>
      </c>
      <c r="C981" s="202">
        <v>3.2981159999999998</v>
      </c>
      <c r="D981" s="202">
        <v>3.6374420000000001</v>
      </c>
      <c r="E981" s="3"/>
    </row>
    <row r="982" spans="2:5" ht="13.25" customHeight="1">
      <c r="B982" s="203">
        <v>42415</v>
      </c>
      <c r="C982" s="202">
        <v>3.3542939999999999</v>
      </c>
      <c r="D982" s="202">
        <v>2.4794079999999998</v>
      </c>
      <c r="E982" s="3"/>
    </row>
    <row r="983" spans="2:5" ht="13.25" customHeight="1">
      <c r="B983" s="203">
        <v>42416</v>
      </c>
      <c r="C983" s="202">
        <v>3.2723680000000002</v>
      </c>
      <c r="D983" s="202">
        <v>4.5014779999999996</v>
      </c>
      <c r="E983" s="3"/>
    </row>
    <row r="984" spans="2:5" ht="13.25" customHeight="1">
      <c r="B984" s="203">
        <v>42417</v>
      </c>
      <c r="C984" s="202">
        <v>3.3519540000000001</v>
      </c>
      <c r="D984" s="202">
        <v>2.9215360000000001</v>
      </c>
      <c r="E984" s="3"/>
    </row>
    <row r="985" spans="2:5" ht="13.25" customHeight="1">
      <c r="B985" s="203">
        <v>42418</v>
      </c>
      <c r="C985" s="202">
        <v>3.3168419999999998</v>
      </c>
      <c r="D985" s="202">
        <v>2.4601099999999998</v>
      </c>
      <c r="E985" s="3"/>
    </row>
    <row r="986" spans="2:5" ht="13.25" customHeight="1">
      <c r="B986" s="203">
        <v>42419</v>
      </c>
      <c r="C986" s="202">
        <v>3.3472719999999998</v>
      </c>
      <c r="D986" s="202">
        <v>2.9026559999999999</v>
      </c>
      <c r="E986" s="3"/>
    </row>
    <row r="987" spans="2:5" ht="13.25" customHeight="1">
      <c r="B987" s="203">
        <v>42422</v>
      </c>
      <c r="C987" s="202">
        <v>3.3964279999999998</v>
      </c>
      <c r="D987" s="202">
        <v>2.4311219999999998</v>
      </c>
      <c r="E987" s="3"/>
    </row>
    <row r="988" spans="2:5" ht="13.25" customHeight="1">
      <c r="B988" s="203">
        <v>42423</v>
      </c>
      <c r="C988" s="202">
        <v>3.3917459999999999</v>
      </c>
      <c r="D988" s="202">
        <v>2.3253339999999998</v>
      </c>
      <c r="E988" s="3"/>
    </row>
    <row r="989" spans="2:5" ht="13.25" customHeight="1">
      <c r="B989" s="203">
        <v>42424</v>
      </c>
      <c r="C989" s="202">
        <v>3.3519540000000001</v>
      </c>
      <c r="D989" s="202">
        <v>3.1588780000000001</v>
      </c>
      <c r="E989" s="3"/>
    </row>
    <row r="990" spans="2:5" ht="13.25" customHeight="1">
      <c r="B990" s="203">
        <v>42425</v>
      </c>
      <c r="C990" s="202">
        <v>3.4362200000000001</v>
      </c>
      <c r="D990" s="202">
        <v>2.094878</v>
      </c>
      <c r="E990" s="3"/>
    </row>
    <row r="991" spans="2:5" ht="13.25" customHeight="1">
      <c r="B991" s="203">
        <v>42426</v>
      </c>
      <c r="C991" s="202">
        <v>3.4128129999999999</v>
      </c>
      <c r="D991" s="202">
        <v>2.6916340000000001</v>
      </c>
      <c r="E991" s="3"/>
    </row>
    <row r="992" spans="2:5" ht="13.25" customHeight="1">
      <c r="B992" s="203">
        <v>42429</v>
      </c>
      <c r="C992" s="202">
        <v>3.3940869999999999</v>
      </c>
      <c r="D992" s="202">
        <v>2.8213520000000001</v>
      </c>
      <c r="E992" s="3"/>
    </row>
    <row r="993" spans="2:5" ht="13.25" customHeight="1">
      <c r="B993" s="203">
        <v>42430</v>
      </c>
      <c r="C993" s="202">
        <v>3.5134650000000001</v>
      </c>
      <c r="D993" s="202">
        <v>7.859286</v>
      </c>
      <c r="E993" s="3"/>
    </row>
    <row r="994" spans="2:5" ht="13.25" customHeight="1">
      <c r="B994" s="203">
        <v>42431</v>
      </c>
      <c r="C994" s="202">
        <v>3.562621</v>
      </c>
      <c r="D994" s="202">
        <v>5.7000679999999999</v>
      </c>
      <c r="E994" s="3"/>
    </row>
    <row r="995" spans="2:5" ht="13.25" customHeight="1">
      <c r="B995" s="203">
        <v>42432</v>
      </c>
      <c r="C995" s="202">
        <v>3.5813470000000001</v>
      </c>
      <c r="D995" s="202">
        <v>4.0185779999999998</v>
      </c>
      <c r="E995" s="3"/>
    </row>
    <row r="996" spans="2:5" ht="13.25" customHeight="1">
      <c r="B996" s="203">
        <v>42433</v>
      </c>
      <c r="C996" s="202">
        <v>3.6375250000000001</v>
      </c>
      <c r="D996" s="202">
        <v>3.002478</v>
      </c>
      <c r="E996" s="3"/>
    </row>
    <row r="997" spans="2:5" ht="13.25" customHeight="1">
      <c r="B997" s="203">
        <v>42436</v>
      </c>
      <c r="C997" s="202">
        <v>3.6445470000000002</v>
      </c>
      <c r="D997" s="202">
        <v>2.9432640000000001</v>
      </c>
      <c r="E997" s="3"/>
    </row>
    <row r="998" spans="2:5" ht="13.25" customHeight="1">
      <c r="B998" s="203">
        <v>42437</v>
      </c>
      <c r="C998" s="202">
        <v>3.5953909999999998</v>
      </c>
      <c r="D998" s="202">
        <v>2.1221580000000002</v>
      </c>
      <c r="E998" s="3"/>
    </row>
    <row r="999" spans="2:5" ht="13.25" customHeight="1">
      <c r="B999" s="203">
        <v>42438</v>
      </c>
      <c r="C999" s="202">
        <v>3.6468880000000001</v>
      </c>
      <c r="D999" s="202">
        <v>2.9598059999999999</v>
      </c>
      <c r="E999" s="3"/>
    </row>
    <row r="1000" spans="2:5" ht="13.25" customHeight="1">
      <c r="B1000" s="203">
        <v>42439</v>
      </c>
      <c r="C1000" s="202">
        <v>3.6702949999999999</v>
      </c>
      <c r="D1000" s="202">
        <v>4.5296120000000002</v>
      </c>
      <c r="E1000" s="3"/>
    </row>
    <row r="1001" spans="2:5" ht="13.25" customHeight="1">
      <c r="B1001" s="203">
        <v>42440</v>
      </c>
      <c r="C1001" s="202">
        <v>3.7217920000000002</v>
      </c>
      <c r="D1001" s="202">
        <v>4.2015700000000002</v>
      </c>
      <c r="E1001" s="3"/>
    </row>
    <row r="1002" spans="2:5" ht="13.25" customHeight="1">
      <c r="B1002" s="203">
        <v>42443</v>
      </c>
      <c r="C1002" s="202">
        <v>3.909052</v>
      </c>
      <c r="D1002" s="202">
        <v>7.3952840000000002</v>
      </c>
      <c r="E1002" s="3"/>
    </row>
    <row r="1003" spans="2:5" ht="13.25" customHeight="1">
      <c r="B1003" s="203">
        <v>42444</v>
      </c>
      <c r="C1003" s="202">
        <v>3.9909780000000001</v>
      </c>
      <c r="D1003" s="202">
        <v>9.4786439999999992</v>
      </c>
      <c r="E1003" s="3"/>
    </row>
    <row r="1004" spans="2:5" ht="13.25" customHeight="1">
      <c r="B1004" s="203">
        <v>42445</v>
      </c>
      <c r="C1004" s="202">
        <v>4.0424749999999996</v>
      </c>
      <c r="D1004" s="202">
        <v>5.3770420000000003</v>
      </c>
      <c r="E1004" s="3"/>
    </row>
    <row r="1005" spans="2:5" ht="13.25" customHeight="1">
      <c r="B1005" s="203">
        <v>42446</v>
      </c>
      <c r="C1005" s="202">
        <v>4.0846080000000002</v>
      </c>
      <c r="D1005" s="202">
        <v>5.0956619999999999</v>
      </c>
      <c r="E1005" s="3"/>
    </row>
    <row r="1006" spans="2:5" ht="13.25" customHeight="1">
      <c r="B1006" s="203">
        <v>42447</v>
      </c>
      <c r="C1006" s="202">
        <v>4.0705629999999999</v>
      </c>
      <c r="D1006" s="202">
        <v>3.5101719999999998</v>
      </c>
      <c r="E1006" s="3"/>
    </row>
    <row r="1007" spans="2:5" ht="13.25" customHeight="1">
      <c r="B1007" s="203">
        <v>42450</v>
      </c>
      <c r="C1007" s="202">
        <v>4.0775860000000002</v>
      </c>
      <c r="D1007" s="202">
        <v>3.0406559999999998</v>
      </c>
      <c r="E1007" s="3"/>
    </row>
    <row r="1008" spans="2:5" ht="13.25" customHeight="1">
      <c r="B1008" s="203">
        <v>42451</v>
      </c>
      <c r="C1008" s="202">
        <v>4.0729040000000003</v>
      </c>
      <c r="D1008" s="202">
        <v>2.6229119999999999</v>
      </c>
      <c r="E1008" s="3"/>
    </row>
    <row r="1009" spans="2:5" ht="13.25" customHeight="1">
      <c r="B1009" s="203">
        <v>42452</v>
      </c>
      <c r="C1009" s="202">
        <v>4.0869489999999997</v>
      </c>
      <c r="D1009" s="202">
        <v>3.650706</v>
      </c>
      <c r="E1009" s="3"/>
    </row>
    <row r="1010" spans="2:5" ht="13.25" customHeight="1">
      <c r="B1010" s="203">
        <v>42453</v>
      </c>
      <c r="C1010" s="202">
        <v>4.0541780000000003</v>
      </c>
      <c r="D1010" s="202">
        <v>2.4040819999999998</v>
      </c>
      <c r="E1010" s="3"/>
    </row>
    <row r="1011" spans="2:5" ht="13.25" customHeight="1">
      <c r="B1011" s="203">
        <v>42458</v>
      </c>
      <c r="C1011" s="202">
        <v>4.0541780000000003</v>
      </c>
      <c r="D1011" s="202">
        <v>3.2843200000000001</v>
      </c>
      <c r="E1011" s="3"/>
    </row>
    <row r="1012" spans="2:5" ht="13.25" customHeight="1">
      <c r="B1012" s="203">
        <v>42459</v>
      </c>
      <c r="C1012" s="202">
        <v>4.1290820000000004</v>
      </c>
      <c r="D1012" s="202">
        <v>3.4093420000000001</v>
      </c>
      <c r="E1012" s="3"/>
    </row>
    <row r="1013" spans="2:5" ht="13.25" customHeight="1">
      <c r="B1013" s="203">
        <v>42460</v>
      </c>
      <c r="C1013" s="202">
        <v>4.1126969999999998</v>
      </c>
      <c r="D1013" s="202">
        <v>3.38287</v>
      </c>
      <c r="E1013" s="3"/>
    </row>
    <row r="1014" spans="2:5" ht="13.25" customHeight="1">
      <c r="B1014" s="203">
        <v>42461</v>
      </c>
      <c r="C1014" s="202">
        <v>4.0752449999999998</v>
      </c>
      <c r="D1014" s="202">
        <v>4.5490060000000003</v>
      </c>
      <c r="E1014" s="3"/>
    </row>
    <row r="1015" spans="2:5" ht="13.25" customHeight="1">
      <c r="B1015" s="203">
        <v>42464</v>
      </c>
      <c r="C1015" s="202">
        <v>4.1197189999999999</v>
      </c>
      <c r="D1015" s="202">
        <v>2.8671820000000001</v>
      </c>
      <c r="E1015" s="3"/>
    </row>
    <row r="1016" spans="2:5" ht="13.25" customHeight="1">
      <c r="B1016" s="203">
        <v>42465</v>
      </c>
      <c r="C1016" s="202">
        <v>4.0588600000000001</v>
      </c>
      <c r="D1016" s="202">
        <v>4.0125760000000001</v>
      </c>
      <c r="E1016" s="3"/>
    </row>
    <row r="1017" spans="2:5" ht="13.25" customHeight="1">
      <c r="B1017" s="203">
        <v>42466</v>
      </c>
      <c r="C1017" s="202">
        <v>4.0588600000000001</v>
      </c>
      <c r="D1017" s="202">
        <v>2.9000020000000002</v>
      </c>
      <c r="E1017" s="3"/>
    </row>
    <row r="1018" spans="2:5" ht="13.25" customHeight="1">
      <c r="B1018" s="203">
        <v>42467</v>
      </c>
      <c r="C1018" s="202">
        <v>4.0354520000000003</v>
      </c>
      <c r="D1018" s="202">
        <v>3.5801059999999998</v>
      </c>
      <c r="E1018" s="3"/>
    </row>
    <row r="1019" spans="2:5" ht="13.25" customHeight="1">
      <c r="B1019" s="203">
        <v>42468</v>
      </c>
      <c r="C1019" s="202">
        <v>4.0963120000000002</v>
      </c>
      <c r="D1019" s="202">
        <v>2.4132720000000001</v>
      </c>
      <c r="E1019" s="3"/>
    </row>
    <row r="1020" spans="2:5" ht="13.25" customHeight="1">
      <c r="B1020" s="203">
        <v>42471</v>
      </c>
      <c r="C1020" s="202">
        <v>4.0307709999999997</v>
      </c>
      <c r="D1020" s="202">
        <v>2.5808499999999999</v>
      </c>
      <c r="E1020" s="3"/>
    </row>
    <row r="1021" spans="2:5" ht="13.25" customHeight="1">
      <c r="B1021" s="203">
        <v>42472</v>
      </c>
      <c r="C1021" s="202">
        <v>3.9792749999999999</v>
      </c>
      <c r="D1021" s="202">
        <v>3.8616060000000001</v>
      </c>
      <c r="E1021" s="3"/>
    </row>
    <row r="1022" spans="2:5" ht="13.25" customHeight="1">
      <c r="B1022" s="203">
        <v>42473</v>
      </c>
      <c r="C1022" s="202">
        <v>4.0097040000000002</v>
      </c>
      <c r="D1022" s="202">
        <v>3.6972</v>
      </c>
      <c r="E1022" s="3"/>
    </row>
    <row r="1023" spans="2:5" ht="13.25" customHeight="1">
      <c r="B1023" s="203">
        <v>42474</v>
      </c>
      <c r="C1023" s="202">
        <v>4.0377929999999997</v>
      </c>
      <c r="D1023" s="202">
        <v>2.0135519999999998</v>
      </c>
      <c r="E1023" s="3"/>
    </row>
    <row r="1024" spans="2:5" ht="13.25" customHeight="1">
      <c r="B1024" s="203">
        <v>42475</v>
      </c>
      <c r="C1024" s="202">
        <v>3.9722520000000001</v>
      </c>
      <c r="D1024" s="202">
        <v>3.3202020000000001</v>
      </c>
      <c r="E1024" s="3"/>
    </row>
    <row r="1025" spans="2:5" ht="13.25" customHeight="1">
      <c r="B1025" s="203">
        <v>42478</v>
      </c>
      <c r="C1025" s="202">
        <v>3.9816150000000001</v>
      </c>
      <c r="D1025" s="202">
        <v>3.1102059999999998</v>
      </c>
      <c r="E1025" s="3"/>
    </row>
    <row r="1026" spans="2:5" ht="13.25" customHeight="1">
      <c r="B1026" s="203">
        <v>42479</v>
      </c>
      <c r="C1026" s="202">
        <v>4.0658820000000002</v>
      </c>
      <c r="D1026" s="202">
        <v>2.65646</v>
      </c>
      <c r="E1026" s="3"/>
    </row>
    <row r="1027" spans="2:5" ht="13.25" customHeight="1">
      <c r="B1027" s="203">
        <v>42480</v>
      </c>
      <c r="C1027" s="202">
        <v>4.089289</v>
      </c>
      <c r="D1027" s="202">
        <v>2.3102119999999999</v>
      </c>
      <c r="E1027" s="3"/>
    </row>
    <row r="1028" spans="2:5" ht="13.25" customHeight="1">
      <c r="B1028" s="203">
        <v>42481</v>
      </c>
      <c r="C1028" s="202">
        <v>4.044816</v>
      </c>
      <c r="D1028" s="202">
        <v>2.6587200000000002</v>
      </c>
      <c r="E1028" s="3"/>
    </row>
    <row r="1029" spans="2:5" ht="13.25" customHeight="1">
      <c r="B1029" s="203">
        <v>42482</v>
      </c>
      <c r="C1029" s="202">
        <v>3.9933190000000001</v>
      </c>
      <c r="D1029" s="202">
        <v>2.4641220000000001</v>
      </c>
      <c r="E1029" s="3"/>
    </row>
    <row r="1030" spans="2:5" ht="13.25" customHeight="1">
      <c r="B1030" s="203">
        <v>42485</v>
      </c>
      <c r="C1030" s="202">
        <v>4.0214090000000002</v>
      </c>
      <c r="D1030" s="202">
        <v>1.9614</v>
      </c>
      <c r="E1030" s="3"/>
    </row>
    <row r="1031" spans="2:5" ht="13.25" customHeight="1">
      <c r="B1031" s="203">
        <v>42486</v>
      </c>
      <c r="C1031" s="202">
        <v>4.0354520000000003</v>
      </c>
      <c r="D1031" s="202">
        <v>2.1590199999999999</v>
      </c>
      <c r="E1031" s="3"/>
    </row>
    <row r="1032" spans="2:5" ht="13.25" customHeight="1">
      <c r="B1032" s="203">
        <v>42487</v>
      </c>
      <c r="C1032" s="202">
        <v>4.0612009999999996</v>
      </c>
      <c r="D1032" s="202">
        <v>2.2684199999999999</v>
      </c>
      <c r="E1032" s="3"/>
    </row>
    <row r="1033" spans="2:5" ht="13.25" customHeight="1">
      <c r="B1033" s="203">
        <v>42488</v>
      </c>
      <c r="C1033" s="202">
        <v>4.0050230000000004</v>
      </c>
      <c r="D1033" s="202">
        <v>3.2102439999999999</v>
      </c>
      <c r="E1033" s="3"/>
    </row>
    <row r="1034" spans="2:5" ht="13.25" customHeight="1">
      <c r="B1034" s="203">
        <v>42489</v>
      </c>
      <c r="C1034" s="202">
        <v>3.946504</v>
      </c>
      <c r="D1034" s="202">
        <v>2.7791199999999998</v>
      </c>
      <c r="E1034" s="3"/>
    </row>
    <row r="1035" spans="2:5" ht="13.25" customHeight="1">
      <c r="B1035" s="203">
        <v>42492</v>
      </c>
      <c r="C1035" s="202">
        <v>3.9324590000000001</v>
      </c>
      <c r="D1035" s="202">
        <v>3.7382620000000002</v>
      </c>
      <c r="E1035" s="3"/>
    </row>
    <row r="1036" spans="2:5" ht="13.25" customHeight="1">
      <c r="B1036" s="203">
        <v>42493</v>
      </c>
      <c r="C1036" s="202">
        <v>3.9113929999999999</v>
      </c>
      <c r="D1036" s="202">
        <v>3.2564299999999999</v>
      </c>
      <c r="E1036" s="3"/>
    </row>
    <row r="1037" spans="2:5" ht="13.25" customHeight="1">
      <c r="B1037" s="203">
        <v>42494</v>
      </c>
      <c r="C1037" s="202">
        <v>3.9488449999999999</v>
      </c>
      <c r="D1037" s="202">
        <v>1.9329000000000001</v>
      </c>
      <c r="E1037" s="3"/>
    </row>
    <row r="1038" spans="2:5" ht="13.25" customHeight="1">
      <c r="B1038" s="203">
        <v>42495</v>
      </c>
      <c r="C1038" s="202">
        <v>3.9628890000000001</v>
      </c>
      <c r="D1038" s="202">
        <v>2.0873379999999999</v>
      </c>
      <c r="E1038" s="3"/>
    </row>
    <row r="1039" spans="2:5" ht="13.25" customHeight="1">
      <c r="B1039" s="203">
        <v>42496</v>
      </c>
      <c r="C1039" s="202">
        <v>3.986297</v>
      </c>
      <c r="D1039" s="202">
        <v>3.0334560000000002</v>
      </c>
      <c r="E1039" s="3"/>
    </row>
    <row r="1040" spans="2:5" ht="13.25" customHeight="1">
      <c r="B1040" s="203">
        <v>42499</v>
      </c>
      <c r="C1040" s="202">
        <v>4.1033340000000003</v>
      </c>
      <c r="D1040" s="202">
        <v>7.1472179999999996</v>
      </c>
      <c r="E1040" s="3"/>
    </row>
    <row r="1041" spans="2:5" ht="13.25" customHeight="1">
      <c r="B1041" s="203">
        <v>42500</v>
      </c>
      <c r="C1041" s="202">
        <v>4.1173789999999997</v>
      </c>
      <c r="D1041" s="202">
        <v>4.8646640000000003</v>
      </c>
      <c r="E1041" s="3"/>
    </row>
    <row r="1042" spans="2:5" ht="13.25" customHeight="1">
      <c r="B1042" s="203">
        <v>42501</v>
      </c>
      <c r="C1042" s="202">
        <v>4.0284300000000002</v>
      </c>
      <c r="D1042" s="202">
        <v>2.6255980000000001</v>
      </c>
      <c r="E1042" s="3"/>
    </row>
    <row r="1043" spans="2:5" ht="13.25" customHeight="1">
      <c r="B1043" s="203">
        <v>42502</v>
      </c>
      <c r="C1043" s="202">
        <v>4.0026820000000001</v>
      </c>
      <c r="D1043" s="202">
        <v>2.0522960000000001</v>
      </c>
      <c r="E1043" s="3"/>
    </row>
    <row r="1044" spans="2:5" ht="13.25" customHeight="1">
      <c r="B1044" s="203">
        <v>42503</v>
      </c>
      <c r="C1044" s="202">
        <v>4.0167260000000002</v>
      </c>
      <c r="D1044" s="202">
        <v>1.7591019999999999</v>
      </c>
      <c r="E1044" s="3"/>
    </row>
    <row r="1045" spans="2:5" ht="13.25" customHeight="1">
      <c r="B1045" s="203">
        <v>42506</v>
      </c>
      <c r="C1045" s="202">
        <v>3.9980000000000002</v>
      </c>
      <c r="D1045" s="202">
        <v>1.2437419999999999</v>
      </c>
      <c r="E1045" s="3"/>
    </row>
    <row r="1046" spans="2:5" ht="13.25" customHeight="1">
      <c r="B1046" s="203">
        <v>42507</v>
      </c>
      <c r="C1046" s="202">
        <v>3.9230960000000001</v>
      </c>
      <c r="D1046" s="202">
        <v>2.755512</v>
      </c>
      <c r="E1046" s="3"/>
    </row>
    <row r="1047" spans="2:5" ht="13.25" customHeight="1">
      <c r="B1047" s="203">
        <v>42508</v>
      </c>
      <c r="C1047" s="202">
        <v>3.927778</v>
      </c>
      <c r="D1047" s="202">
        <v>1.4595260000000001</v>
      </c>
      <c r="E1047" s="3"/>
    </row>
    <row r="1048" spans="2:5" ht="13.25" customHeight="1">
      <c r="B1048" s="203">
        <v>42509</v>
      </c>
      <c r="C1048" s="202">
        <v>3.829466</v>
      </c>
      <c r="D1048" s="202">
        <v>2.4809299999999999</v>
      </c>
      <c r="E1048" s="3"/>
    </row>
    <row r="1049" spans="2:5" ht="13.25" customHeight="1">
      <c r="B1049" s="203">
        <v>42510</v>
      </c>
      <c r="C1049" s="202">
        <v>3.9488449999999999</v>
      </c>
      <c r="D1049" s="202">
        <v>2.281498</v>
      </c>
      <c r="E1049" s="3"/>
    </row>
    <row r="1050" spans="2:5" ht="13.25" customHeight="1">
      <c r="B1050" s="203">
        <v>42513</v>
      </c>
      <c r="C1050" s="202">
        <v>3.9703710000000001</v>
      </c>
      <c r="D1050" s="202">
        <v>2.0067379999999999</v>
      </c>
      <c r="E1050" s="3"/>
    </row>
    <row r="1051" spans="2:5" ht="13.25" customHeight="1">
      <c r="B1051" s="203">
        <v>42514</v>
      </c>
      <c r="C1051" s="202">
        <v>4.1067020000000003</v>
      </c>
      <c r="D1051" s="202">
        <v>2.6363020000000001</v>
      </c>
      <c r="E1051" s="3"/>
    </row>
    <row r="1052" spans="2:5" ht="13.25" customHeight="1">
      <c r="B1052" s="203">
        <v>42515</v>
      </c>
      <c r="C1052" s="202">
        <v>4.1664969999999997</v>
      </c>
      <c r="D1052" s="202">
        <v>2.8295620000000001</v>
      </c>
      <c r="E1052" s="3"/>
    </row>
    <row r="1053" spans="2:5" ht="13.25" customHeight="1">
      <c r="B1053" s="203">
        <v>42516</v>
      </c>
      <c r="C1053" s="202">
        <v>4.15693</v>
      </c>
      <c r="D1053" s="202">
        <v>1.8048900000000001</v>
      </c>
      <c r="E1053" s="3"/>
    </row>
    <row r="1054" spans="2:5" ht="13.25" customHeight="1">
      <c r="B1054" s="203">
        <v>42517</v>
      </c>
      <c r="C1054" s="202">
        <v>4.1641050000000002</v>
      </c>
      <c r="D1054" s="202">
        <v>1.2099040000000001</v>
      </c>
      <c r="E1054" s="3"/>
    </row>
    <row r="1055" spans="2:5" ht="13.25" customHeight="1">
      <c r="B1055" s="203">
        <v>42520</v>
      </c>
      <c r="C1055" s="202">
        <v>4.1808480000000001</v>
      </c>
      <c r="D1055" s="202">
        <v>0.93833599999999995</v>
      </c>
      <c r="E1055" s="3"/>
    </row>
    <row r="1056" spans="2:5" ht="13.25" customHeight="1">
      <c r="B1056" s="203">
        <v>42521</v>
      </c>
      <c r="C1056" s="202">
        <v>4.1545389999999998</v>
      </c>
      <c r="D1056" s="202">
        <v>1.99159</v>
      </c>
      <c r="E1056" s="3"/>
    </row>
    <row r="1057" spans="2:5" ht="13.25" customHeight="1">
      <c r="B1057" s="203">
        <v>42522</v>
      </c>
      <c r="C1057" s="202">
        <v>4.1712809999999996</v>
      </c>
      <c r="D1057" s="202">
        <v>1.7747360000000001</v>
      </c>
      <c r="E1057" s="3"/>
    </row>
    <row r="1058" spans="2:5" ht="13.25" customHeight="1">
      <c r="B1058" s="203">
        <v>42523</v>
      </c>
      <c r="C1058" s="202">
        <v>4.1808480000000001</v>
      </c>
      <c r="D1058" s="202">
        <v>1.4026419999999999</v>
      </c>
      <c r="E1058" s="3"/>
    </row>
    <row r="1059" spans="2:5" ht="13.25" customHeight="1">
      <c r="B1059" s="203">
        <v>42524</v>
      </c>
      <c r="C1059" s="202">
        <v>4.1832390000000004</v>
      </c>
      <c r="D1059" s="202">
        <v>2.1035439999999999</v>
      </c>
      <c r="E1059" s="3"/>
    </row>
    <row r="1060" spans="2:5" ht="13.25" customHeight="1">
      <c r="B1060" s="203">
        <v>42527</v>
      </c>
      <c r="C1060" s="202">
        <v>4.1688900000000002</v>
      </c>
      <c r="D1060" s="202">
        <v>0.95972599999999997</v>
      </c>
      <c r="E1060" s="3"/>
    </row>
    <row r="1061" spans="2:5" ht="13.25" customHeight="1">
      <c r="B1061" s="203">
        <v>42528</v>
      </c>
      <c r="C1061" s="202">
        <v>4.1951989999999997</v>
      </c>
      <c r="D1061" s="202">
        <v>2.3232520000000001</v>
      </c>
      <c r="E1061" s="3"/>
    </row>
    <row r="1062" spans="2:5" ht="13.25" customHeight="1">
      <c r="B1062" s="203">
        <v>42529</v>
      </c>
      <c r="C1062" s="202">
        <v>4.1617139999999999</v>
      </c>
      <c r="D1062" s="202">
        <v>1.1276679999999999</v>
      </c>
      <c r="E1062" s="3"/>
    </row>
    <row r="1063" spans="2:5" ht="13.25" customHeight="1">
      <c r="B1063" s="203">
        <v>42530</v>
      </c>
      <c r="C1063" s="202">
        <v>4.0995280000000003</v>
      </c>
      <c r="D1063" s="202">
        <v>1.876258</v>
      </c>
      <c r="E1063" s="3"/>
    </row>
    <row r="1064" spans="2:5" ht="13.25" customHeight="1">
      <c r="B1064" s="203">
        <v>42531</v>
      </c>
      <c r="C1064" s="202">
        <v>3.982329</v>
      </c>
      <c r="D1064" s="202">
        <v>2.5552440000000001</v>
      </c>
      <c r="E1064" s="3"/>
    </row>
    <row r="1065" spans="2:5" ht="13.25" customHeight="1">
      <c r="B1065" s="203">
        <v>42534</v>
      </c>
      <c r="C1065" s="202">
        <v>3.932102</v>
      </c>
      <c r="D1065" s="202">
        <v>2.6014539999999999</v>
      </c>
      <c r="E1065" s="3"/>
    </row>
    <row r="1066" spans="2:5" ht="13.25" customHeight="1">
      <c r="B1066" s="203">
        <v>42535</v>
      </c>
      <c r="C1066" s="202">
        <v>3.9344939999999999</v>
      </c>
      <c r="D1066" s="202">
        <v>2.4827720000000002</v>
      </c>
      <c r="E1066" s="3"/>
    </row>
    <row r="1067" spans="2:5" ht="13.25" customHeight="1">
      <c r="B1067" s="203">
        <v>42536</v>
      </c>
      <c r="C1067" s="202">
        <v>3.9416690000000001</v>
      </c>
      <c r="D1067" s="202">
        <v>2.667208</v>
      </c>
      <c r="E1067" s="3"/>
    </row>
    <row r="1068" spans="2:5" ht="13.25" customHeight="1">
      <c r="B1068" s="203">
        <v>42537</v>
      </c>
      <c r="C1068" s="202">
        <v>3.9488439999999998</v>
      </c>
      <c r="D1068" s="202">
        <v>2.5646800000000001</v>
      </c>
      <c r="E1068" s="3"/>
    </row>
    <row r="1069" spans="2:5" ht="13.25" customHeight="1">
      <c r="B1069" s="203">
        <v>42538</v>
      </c>
      <c r="C1069" s="202">
        <v>3.946453</v>
      </c>
      <c r="D1069" s="202">
        <v>2.7161960000000001</v>
      </c>
      <c r="E1069" s="3"/>
    </row>
    <row r="1070" spans="2:5" ht="13.25" customHeight="1">
      <c r="B1070" s="203">
        <v>42541</v>
      </c>
      <c r="C1070" s="202">
        <v>4.0851759999999997</v>
      </c>
      <c r="D1070" s="202">
        <v>2.715808</v>
      </c>
      <c r="E1070" s="3"/>
    </row>
    <row r="1071" spans="2:5" ht="13.25" customHeight="1">
      <c r="B1071" s="203">
        <v>42542</v>
      </c>
      <c r="C1071" s="202">
        <v>4.0875680000000001</v>
      </c>
      <c r="D1071" s="202">
        <v>1.7628699999999999</v>
      </c>
      <c r="E1071" s="3"/>
    </row>
    <row r="1072" spans="2:5" ht="13.25" customHeight="1">
      <c r="B1072" s="203">
        <v>42543</v>
      </c>
      <c r="C1072" s="202">
        <v>4.0373409999999996</v>
      </c>
      <c r="D1072" s="202">
        <v>1.3227279999999999</v>
      </c>
      <c r="E1072" s="3"/>
    </row>
    <row r="1073" spans="2:5" ht="13.25" customHeight="1">
      <c r="B1073" s="203">
        <v>42544</v>
      </c>
      <c r="C1073" s="202">
        <v>4.1401870000000001</v>
      </c>
      <c r="D1073" s="202">
        <v>2.11896</v>
      </c>
      <c r="E1073" s="3"/>
    </row>
    <row r="1074" spans="2:5" ht="13.25" customHeight="1">
      <c r="B1074" s="203">
        <v>42545</v>
      </c>
      <c r="C1074" s="202">
        <v>3.9631949999999998</v>
      </c>
      <c r="D1074" s="202">
        <v>4.4142619999999999</v>
      </c>
      <c r="E1074" s="3"/>
    </row>
    <row r="1075" spans="2:5" ht="13.25" customHeight="1">
      <c r="B1075" s="203">
        <v>42548</v>
      </c>
      <c r="C1075" s="202">
        <v>3.9655870000000002</v>
      </c>
      <c r="D1075" s="202">
        <v>3.4294859999999998</v>
      </c>
      <c r="E1075" s="3"/>
    </row>
    <row r="1076" spans="2:5" ht="13.25" customHeight="1">
      <c r="B1076" s="203">
        <v>42549</v>
      </c>
      <c r="C1076" s="202">
        <v>4.1210529999999999</v>
      </c>
      <c r="D1076" s="202">
        <v>3.2838639999999999</v>
      </c>
      <c r="E1076" s="3"/>
    </row>
    <row r="1077" spans="2:5" ht="13.25" customHeight="1">
      <c r="B1077" s="203">
        <v>42550</v>
      </c>
      <c r="C1077" s="202">
        <v>4.1688900000000002</v>
      </c>
      <c r="D1077" s="202">
        <v>3.008524</v>
      </c>
      <c r="E1077" s="3"/>
    </row>
    <row r="1078" spans="2:5" ht="13.25" customHeight="1">
      <c r="B1078" s="203">
        <v>42551</v>
      </c>
      <c r="C1078" s="202">
        <v>4.2478179999999996</v>
      </c>
      <c r="D1078" s="202">
        <v>2.6624400000000001</v>
      </c>
      <c r="E1078" s="3"/>
    </row>
    <row r="1079" spans="2:5" ht="13.25" customHeight="1">
      <c r="B1079" s="203">
        <v>42552</v>
      </c>
      <c r="C1079" s="202">
        <v>4.238251</v>
      </c>
      <c r="D1079" s="202">
        <v>2.1541399999999999</v>
      </c>
      <c r="E1079" s="3"/>
    </row>
    <row r="1080" spans="2:5" ht="13.25" customHeight="1">
      <c r="B1080" s="203">
        <v>42555</v>
      </c>
      <c r="C1080" s="202">
        <v>4.2310759999999998</v>
      </c>
      <c r="D1080" s="202">
        <v>1.3348500000000001</v>
      </c>
      <c r="E1080" s="3"/>
    </row>
    <row r="1081" spans="2:5" ht="13.25" customHeight="1">
      <c r="B1081" s="203">
        <v>42556</v>
      </c>
      <c r="C1081" s="202">
        <v>4.2143329999999999</v>
      </c>
      <c r="D1081" s="202">
        <v>1.6125659999999999</v>
      </c>
      <c r="E1081" s="3"/>
    </row>
    <row r="1082" spans="2:5" ht="13.25" customHeight="1">
      <c r="B1082" s="203">
        <v>42557</v>
      </c>
      <c r="C1082" s="202">
        <v>4.0827850000000003</v>
      </c>
      <c r="D1082" s="202">
        <v>1.918528</v>
      </c>
      <c r="E1082" s="3"/>
    </row>
    <row r="1083" spans="2:5" ht="13.25" customHeight="1">
      <c r="B1083" s="203">
        <v>42558</v>
      </c>
      <c r="C1083" s="202">
        <v>4.1234450000000002</v>
      </c>
      <c r="D1083" s="202">
        <v>1.641634</v>
      </c>
      <c r="E1083" s="3"/>
    </row>
    <row r="1084" spans="2:5" ht="13.25" customHeight="1">
      <c r="B1084" s="203">
        <v>42559</v>
      </c>
      <c r="C1084" s="202">
        <v>4.1832390000000004</v>
      </c>
      <c r="D1084" s="202">
        <v>1.482138</v>
      </c>
      <c r="E1084" s="3"/>
    </row>
    <row r="1085" spans="2:5" ht="13.25" customHeight="1">
      <c r="B1085" s="203">
        <v>42562</v>
      </c>
      <c r="C1085" s="202">
        <v>4.2430349999999999</v>
      </c>
      <c r="D1085" s="202">
        <v>1.0142720000000001</v>
      </c>
      <c r="E1085" s="3"/>
    </row>
    <row r="1086" spans="2:5" ht="13.25" customHeight="1">
      <c r="B1086" s="203">
        <v>42563</v>
      </c>
      <c r="C1086" s="202">
        <v>4.2406430000000004</v>
      </c>
      <c r="D1086" s="202">
        <v>1.9770460000000001</v>
      </c>
      <c r="E1086" s="3"/>
    </row>
    <row r="1087" spans="2:5" ht="13.25" customHeight="1">
      <c r="B1087" s="203">
        <v>42564</v>
      </c>
      <c r="C1087" s="202">
        <v>4.15693</v>
      </c>
      <c r="D1087" s="202">
        <v>1.7523200000000001</v>
      </c>
      <c r="E1087" s="3"/>
    </row>
    <row r="1088" spans="2:5" ht="13.25" customHeight="1">
      <c r="B1088" s="203">
        <v>42565</v>
      </c>
      <c r="C1088" s="202">
        <v>4.1975910000000001</v>
      </c>
      <c r="D1088" s="202">
        <v>1.660684</v>
      </c>
      <c r="E1088" s="3"/>
    </row>
    <row r="1089" spans="2:5" ht="13.25" customHeight="1">
      <c r="B1089" s="203">
        <v>42566</v>
      </c>
      <c r="C1089" s="202">
        <v>4.1497549999999999</v>
      </c>
      <c r="D1089" s="202">
        <v>1.551202</v>
      </c>
      <c r="E1089" s="3"/>
    </row>
    <row r="1090" spans="2:5" ht="13.25" customHeight="1">
      <c r="B1090" s="203">
        <v>42569</v>
      </c>
      <c r="C1090" s="202">
        <v>4.2167250000000003</v>
      </c>
      <c r="D1090" s="202">
        <v>1.25145</v>
      </c>
      <c r="E1090" s="3"/>
    </row>
    <row r="1091" spans="2:5" ht="13.25" customHeight="1">
      <c r="B1091" s="203">
        <v>42570</v>
      </c>
      <c r="C1091" s="202">
        <v>4.2239000000000004</v>
      </c>
      <c r="D1091" s="202">
        <v>1.433818</v>
      </c>
      <c r="E1091" s="3"/>
    </row>
    <row r="1092" spans="2:5" ht="13.25" customHeight="1">
      <c r="B1092" s="203">
        <v>42571</v>
      </c>
      <c r="C1092" s="202">
        <v>4.2669519999999999</v>
      </c>
      <c r="D1092" s="202">
        <v>1.6504099999999999</v>
      </c>
      <c r="E1092" s="3"/>
    </row>
    <row r="1093" spans="2:5" ht="13.25" customHeight="1">
      <c r="B1093" s="203">
        <v>42572</v>
      </c>
      <c r="C1093" s="202">
        <v>4.2454270000000003</v>
      </c>
      <c r="D1093" s="202">
        <v>1.5871820000000001</v>
      </c>
      <c r="E1093" s="3"/>
    </row>
    <row r="1094" spans="2:5" ht="13.25" customHeight="1">
      <c r="B1094" s="203">
        <v>42573</v>
      </c>
      <c r="C1094" s="202">
        <v>4.3028300000000002</v>
      </c>
      <c r="D1094" s="202">
        <v>2.0448</v>
      </c>
      <c r="E1094" s="3"/>
    </row>
    <row r="1095" spans="2:5" ht="13.25" customHeight="1">
      <c r="B1095" s="203">
        <v>42576</v>
      </c>
      <c r="C1095" s="202">
        <v>4.3769749999999998</v>
      </c>
      <c r="D1095" s="202">
        <v>2.6773539999999998</v>
      </c>
      <c r="E1095" s="3"/>
    </row>
    <row r="1096" spans="2:5" ht="13.25" customHeight="1">
      <c r="B1096" s="203">
        <v>42577</v>
      </c>
      <c r="C1096" s="202">
        <v>4.3817589999999997</v>
      </c>
      <c r="D1096" s="202">
        <v>2.2484519999999999</v>
      </c>
      <c r="E1096" s="3"/>
    </row>
    <row r="1097" spans="2:5" ht="13.25" customHeight="1">
      <c r="B1097" s="203">
        <v>42578</v>
      </c>
      <c r="C1097" s="202">
        <v>4.396109</v>
      </c>
      <c r="D1097" s="202">
        <v>2.51315</v>
      </c>
      <c r="E1097" s="3"/>
    </row>
    <row r="1098" spans="2:5" ht="13.25" customHeight="1">
      <c r="B1098" s="203">
        <v>42579</v>
      </c>
      <c r="C1098" s="202">
        <v>4.3721909999999999</v>
      </c>
      <c r="D1098" s="202">
        <v>1.3225499999999999</v>
      </c>
      <c r="E1098" s="3"/>
    </row>
    <row r="1099" spans="2:5" ht="13.25" customHeight="1">
      <c r="B1099" s="203">
        <v>42580</v>
      </c>
      <c r="C1099" s="202">
        <v>4.4176349999999998</v>
      </c>
      <c r="D1099" s="202">
        <v>2.3970159999999998</v>
      </c>
      <c r="E1099" s="3"/>
    </row>
    <row r="1100" spans="2:5" ht="13.25" customHeight="1">
      <c r="B1100" s="203">
        <v>42583</v>
      </c>
      <c r="C1100" s="202">
        <v>4.4248099999999999</v>
      </c>
      <c r="D1100" s="202">
        <v>2.3136580000000002</v>
      </c>
      <c r="E1100" s="3"/>
    </row>
    <row r="1101" spans="2:5" ht="13.25" customHeight="1">
      <c r="B1101" s="203">
        <v>42584</v>
      </c>
      <c r="C1101" s="202">
        <v>4.6305059999999996</v>
      </c>
      <c r="D1101" s="202">
        <v>7.7655799999999999</v>
      </c>
      <c r="E1101" s="3"/>
    </row>
    <row r="1102" spans="2:5" ht="13.25" customHeight="1">
      <c r="B1102" s="203">
        <v>42585</v>
      </c>
      <c r="C1102" s="202">
        <v>4.6041949999999998</v>
      </c>
      <c r="D1102" s="202">
        <v>3.506316</v>
      </c>
      <c r="E1102" s="3"/>
    </row>
    <row r="1103" spans="2:5" ht="13.25" customHeight="1">
      <c r="B1103" s="203">
        <v>42586</v>
      </c>
      <c r="C1103" s="202">
        <v>4.6041949999999998</v>
      </c>
      <c r="D1103" s="202">
        <v>3.4972859999999999</v>
      </c>
      <c r="E1103" s="3"/>
    </row>
    <row r="1104" spans="2:5" ht="13.25" customHeight="1">
      <c r="B1104" s="203">
        <v>42587</v>
      </c>
      <c r="C1104" s="202">
        <v>4.6113710000000001</v>
      </c>
      <c r="D1104" s="202">
        <v>2.5935380000000001</v>
      </c>
      <c r="E1104" s="3"/>
    </row>
    <row r="1105" spans="2:5" ht="13.25" customHeight="1">
      <c r="B1105" s="203">
        <v>42590</v>
      </c>
      <c r="C1105" s="202">
        <v>4.5252660000000002</v>
      </c>
      <c r="D1105" s="202">
        <v>2.4113000000000002</v>
      </c>
      <c r="E1105" s="3"/>
    </row>
    <row r="1106" spans="2:5" ht="13.25" customHeight="1">
      <c r="B1106" s="203">
        <v>42591</v>
      </c>
      <c r="C1106" s="202">
        <v>4.5683179999999997</v>
      </c>
      <c r="D1106" s="202">
        <v>1.454256</v>
      </c>
      <c r="E1106" s="3"/>
    </row>
    <row r="1107" spans="2:5" ht="13.25" customHeight="1">
      <c r="B1107" s="203">
        <v>42592</v>
      </c>
      <c r="C1107" s="202">
        <v>4.5444000000000004</v>
      </c>
      <c r="D1107" s="202">
        <v>1.1292740000000001</v>
      </c>
      <c r="E1107" s="3"/>
    </row>
    <row r="1108" spans="2:5" ht="13.25" customHeight="1">
      <c r="B1108" s="203">
        <v>42593</v>
      </c>
      <c r="C1108" s="202">
        <v>4.7548779999999997</v>
      </c>
      <c r="D1108" s="202">
        <v>4.7850599999999996</v>
      </c>
      <c r="E1108" s="3"/>
    </row>
    <row r="1109" spans="2:5" ht="13.25" customHeight="1">
      <c r="B1109" s="203">
        <v>42594</v>
      </c>
      <c r="C1109" s="202">
        <v>4.7644450000000003</v>
      </c>
      <c r="D1109" s="202">
        <v>2.5602580000000001</v>
      </c>
      <c r="E1109" s="3"/>
    </row>
    <row r="1110" spans="2:5" ht="13.25" customHeight="1">
      <c r="B1110" s="203">
        <v>42598</v>
      </c>
      <c r="C1110" s="202">
        <v>4.6807319999999999</v>
      </c>
      <c r="D1110" s="202">
        <v>3.838206</v>
      </c>
      <c r="E1110" s="3"/>
    </row>
    <row r="1111" spans="2:5" ht="13.25" customHeight="1">
      <c r="B1111" s="203">
        <v>42599</v>
      </c>
      <c r="C1111" s="202">
        <v>4.6496389999999996</v>
      </c>
      <c r="D1111" s="202">
        <v>2.1023480000000001</v>
      </c>
      <c r="E1111" s="3"/>
    </row>
    <row r="1112" spans="2:5" ht="13.25" customHeight="1">
      <c r="B1112" s="203">
        <v>42600</v>
      </c>
      <c r="C1112" s="202">
        <v>4.6544220000000003</v>
      </c>
      <c r="D1112" s="202">
        <v>1.3265560000000001</v>
      </c>
      <c r="E1112" s="3"/>
    </row>
    <row r="1113" spans="2:5" ht="13.25" customHeight="1">
      <c r="B1113" s="203">
        <v>42601</v>
      </c>
      <c r="C1113" s="202">
        <v>4.640072</v>
      </c>
      <c r="D1113" s="202">
        <v>1.900328</v>
      </c>
      <c r="E1113" s="3"/>
    </row>
    <row r="1114" spans="2:5" ht="13.25" customHeight="1">
      <c r="B1114" s="203">
        <v>42604</v>
      </c>
      <c r="C1114" s="202">
        <v>4.6950830000000003</v>
      </c>
      <c r="D1114" s="202">
        <v>2.5735160000000001</v>
      </c>
      <c r="E1114" s="3"/>
    </row>
    <row r="1115" spans="2:5" ht="13.25" customHeight="1">
      <c r="B1115" s="203">
        <v>42605</v>
      </c>
      <c r="C1115" s="202">
        <v>4.6879080000000002</v>
      </c>
      <c r="D1115" s="202">
        <v>2.803086</v>
      </c>
      <c r="E1115" s="3"/>
    </row>
    <row r="1116" spans="2:5" ht="13.25" customHeight="1">
      <c r="B1116" s="203">
        <v>42606</v>
      </c>
      <c r="C1116" s="202">
        <v>4.6639900000000001</v>
      </c>
      <c r="D1116" s="202">
        <v>1.8774740000000001</v>
      </c>
      <c r="E1116" s="3"/>
    </row>
    <row r="1117" spans="2:5" ht="13.25" customHeight="1">
      <c r="B1117" s="203">
        <v>42607</v>
      </c>
      <c r="C1117" s="202">
        <v>4.6639900000000001</v>
      </c>
      <c r="D1117" s="202">
        <v>1.4877339999999999</v>
      </c>
      <c r="E1117" s="3"/>
    </row>
    <row r="1118" spans="2:5" ht="13.25" customHeight="1">
      <c r="B1118" s="203">
        <v>42608</v>
      </c>
      <c r="C1118" s="202">
        <v>4.7118250000000002</v>
      </c>
      <c r="D1118" s="202">
        <v>2.425986</v>
      </c>
      <c r="E1118" s="3"/>
    </row>
    <row r="1119" spans="2:5" ht="13.25" customHeight="1">
      <c r="B1119" s="203">
        <v>42611</v>
      </c>
      <c r="C1119" s="202">
        <v>4.6855149999999997</v>
      </c>
      <c r="D1119" s="202">
        <v>1.1199060000000001</v>
      </c>
      <c r="E1119" s="3"/>
    </row>
    <row r="1120" spans="2:5" ht="13.25" customHeight="1">
      <c r="B1120" s="203">
        <v>42612</v>
      </c>
      <c r="C1120" s="202">
        <v>4.7429189999999997</v>
      </c>
      <c r="D1120" s="202">
        <v>1.849926</v>
      </c>
      <c r="E1120" s="3"/>
    </row>
    <row r="1121" spans="2:5" ht="13.25" customHeight="1">
      <c r="B1121" s="203">
        <v>42613</v>
      </c>
      <c r="C1121" s="202">
        <v>4.6663819999999996</v>
      </c>
      <c r="D1121" s="202">
        <v>2.1156760000000001</v>
      </c>
      <c r="E1121" s="3"/>
    </row>
    <row r="1122" spans="2:5" ht="13.25" customHeight="1">
      <c r="B1122" s="203">
        <v>42614</v>
      </c>
      <c r="C1122" s="202">
        <v>4.640072</v>
      </c>
      <c r="D1122" s="202">
        <v>3.4783759999999999</v>
      </c>
      <c r="E1122" s="3"/>
    </row>
    <row r="1123" spans="2:5" ht="13.25" customHeight="1">
      <c r="B1123" s="203">
        <v>42615</v>
      </c>
      <c r="C1123" s="202">
        <v>4.7979289999999999</v>
      </c>
      <c r="D1123" s="202">
        <v>3.1583679999999998</v>
      </c>
      <c r="E1123" s="3"/>
    </row>
    <row r="1124" spans="2:5" ht="13.25" customHeight="1">
      <c r="B1124" s="203">
        <v>42618</v>
      </c>
      <c r="C1124" s="202">
        <v>4.7668369999999998</v>
      </c>
      <c r="D1124" s="202">
        <v>1.4549780000000001</v>
      </c>
      <c r="E1124" s="3"/>
    </row>
    <row r="1125" spans="2:5" ht="13.25" customHeight="1">
      <c r="B1125" s="203">
        <v>42619</v>
      </c>
      <c r="C1125" s="202">
        <v>4.7644450000000003</v>
      </c>
      <c r="D1125" s="202">
        <v>1.37704</v>
      </c>
      <c r="E1125" s="3"/>
    </row>
    <row r="1126" spans="2:5" ht="13.25" customHeight="1">
      <c r="B1126" s="203">
        <v>42620</v>
      </c>
      <c r="C1126" s="202">
        <v>4.8027129999999998</v>
      </c>
      <c r="D1126" s="202">
        <v>1.5547139999999999</v>
      </c>
      <c r="E1126" s="3"/>
    </row>
    <row r="1127" spans="2:5" ht="13.25" customHeight="1">
      <c r="B1127" s="203">
        <v>42621</v>
      </c>
      <c r="C1127" s="202">
        <v>4.6926909999999999</v>
      </c>
      <c r="D1127" s="202">
        <v>3.4122859999999999</v>
      </c>
      <c r="E1127" s="3"/>
    </row>
    <row r="1128" spans="2:5" ht="13.25" customHeight="1">
      <c r="B1128" s="203">
        <v>42622</v>
      </c>
      <c r="C1128" s="202">
        <v>4.5754929999999998</v>
      </c>
      <c r="D1128" s="202">
        <v>2.9343080000000001</v>
      </c>
      <c r="E1128" s="3"/>
    </row>
    <row r="1129" spans="2:5" ht="13.25" customHeight="1">
      <c r="B1129" s="203">
        <v>42625</v>
      </c>
      <c r="C1129" s="202">
        <v>4.5539670000000001</v>
      </c>
      <c r="D1129" s="202">
        <v>2.054252</v>
      </c>
      <c r="E1129" s="3"/>
    </row>
    <row r="1130" spans="2:5" ht="13.25" customHeight="1">
      <c r="B1130" s="203">
        <v>42626</v>
      </c>
      <c r="C1130" s="202">
        <v>4.4869969999999997</v>
      </c>
      <c r="D1130" s="202">
        <v>1.5956939999999999</v>
      </c>
      <c r="E1130" s="3"/>
    </row>
    <row r="1131" spans="2:5" ht="13.25" customHeight="1">
      <c r="B1131" s="203">
        <v>42627</v>
      </c>
      <c r="C1131" s="202">
        <v>4.5204820000000003</v>
      </c>
      <c r="D1131" s="202">
        <v>1.75658</v>
      </c>
      <c r="E1131" s="3"/>
    </row>
    <row r="1132" spans="2:5" ht="13.25" customHeight="1">
      <c r="B1132" s="203">
        <v>42628</v>
      </c>
      <c r="C1132" s="202">
        <v>4.594627</v>
      </c>
      <c r="D1132" s="202">
        <v>2.8637739999999998</v>
      </c>
      <c r="E1132" s="3"/>
    </row>
    <row r="1133" spans="2:5" ht="13.25" customHeight="1">
      <c r="B1133" s="203">
        <v>42629</v>
      </c>
      <c r="C1133" s="202">
        <v>4.5802769999999997</v>
      </c>
      <c r="D1133" s="202">
        <v>4.1332120000000003</v>
      </c>
      <c r="E1133" s="3"/>
    </row>
    <row r="1134" spans="2:5" ht="13.25" customHeight="1">
      <c r="B1134" s="203">
        <v>42632</v>
      </c>
      <c r="C1134" s="202">
        <v>4.6065870000000002</v>
      </c>
      <c r="D1134" s="202">
        <v>1.507104</v>
      </c>
      <c r="E1134" s="3"/>
    </row>
    <row r="1135" spans="2:5" ht="13.25" customHeight="1">
      <c r="B1135" s="203">
        <v>42633</v>
      </c>
      <c r="C1135" s="202">
        <v>4.5922369999999999</v>
      </c>
      <c r="D1135" s="202">
        <v>1.7779259999999999</v>
      </c>
      <c r="E1135" s="3"/>
    </row>
    <row r="1136" spans="2:5" ht="13.25" customHeight="1">
      <c r="B1136" s="203">
        <v>42634</v>
      </c>
      <c r="C1136" s="202">
        <v>4.5778850000000002</v>
      </c>
      <c r="D1136" s="202">
        <v>1.263166</v>
      </c>
      <c r="E1136" s="3"/>
    </row>
    <row r="1137" spans="2:5" ht="13.25" customHeight="1">
      <c r="B1137" s="203">
        <v>42635</v>
      </c>
      <c r="C1137" s="202">
        <v>4.8027129999999998</v>
      </c>
      <c r="D1137" s="202">
        <v>3.6322679999999998</v>
      </c>
      <c r="E1137" s="3"/>
    </row>
    <row r="1138" spans="2:5" ht="13.25" customHeight="1">
      <c r="B1138" s="203">
        <v>42636</v>
      </c>
      <c r="C1138" s="202">
        <v>4.7429189999999997</v>
      </c>
      <c r="D1138" s="202">
        <v>1.2164360000000001</v>
      </c>
      <c r="E1138" s="3"/>
    </row>
    <row r="1139" spans="2:5" ht="13.25" customHeight="1">
      <c r="B1139" s="203">
        <v>42639</v>
      </c>
      <c r="C1139" s="202">
        <v>4.7453110000000001</v>
      </c>
      <c r="D1139" s="202">
        <v>2.0418379999999998</v>
      </c>
      <c r="E1139" s="3"/>
    </row>
    <row r="1140" spans="2:5" ht="13.25" customHeight="1">
      <c r="B1140" s="203">
        <v>42640</v>
      </c>
      <c r="C1140" s="202">
        <v>4.757269</v>
      </c>
      <c r="D1140" s="202">
        <v>1.4247080000000001</v>
      </c>
      <c r="E1140" s="3"/>
    </row>
    <row r="1141" spans="2:5" ht="13.25" customHeight="1">
      <c r="B1141" s="203">
        <v>42641</v>
      </c>
      <c r="C1141" s="202">
        <v>4.8266309999999999</v>
      </c>
      <c r="D1141" s="202">
        <v>3.1276799999999998</v>
      </c>
      <c r="E1141" s="3"/>
    </row>
    <row r="1142" spans="2:5" ht="13.25" customHeight="1">
      <c r="B1142" s="203">
        <v>42642</v>
      </c>
      <c r="C1142" s="202">
        <v>4.8074969999999997</v>
      </c>
      <c r="D1142" s="202">
        <v>3.0884179999999999</v>
      </c>
      <c r="E1142" s="3"/>
    </row>
    <row r="1143" spans="2:5" ht="13.25" customHeight="1">
      <c r="B1143" s="203">
        <v>42643</v>
      </c>
      <c r="C1143" s="202">
        <v>4.7979289999999999</v>
      </c>
      <c r="D1143" s="202">
        <v>2.0466839999999999</v>
      </c>
      <c r="E1143" s="3"/>
    </row>
    <row r="1144" spans="2:5" ht="13.25" customHeight="1">
      <c r="B1144" s="203">
        <v>42646</v>
      </c>
      <c r="C1144" s="202">
        <v>4.7835789999999996</v>
      </c>
      <c r="D1144" s="202">
        <v>2.279922</v>
      </c>
      <c r="E1144" s="3"/>
    </row>
    <row r="1145" spans="2:5" ht="13.25" customHeight="1">
      <c r="B1145" s="203">
        <v>42647</v>
      </c>
      <c r="C1145" s="202">
        <v>4.7453110000000001</v>
      </c>
      <c r="D1145" s="202">
        <v>2.486634</v>
      </c>
      <c r="E1145" s="3"/>
    </row>
    <row r="1146" spans="2:5" ht="13.25" customHeight="1">
      <c r="B1146" s="203">
        <v>42648</v>
      </c>
      <c r="C1146" s="202">
        <v>4.6783400000000004</v>
      </c>
      <c r="D1146" s="202">
        <v>2.9275600000000002</v>
      </c>
      <c r="E1146" s="3"/>
    </row>
    <row r="1147" spans="2:5" ht="13.25" customHeight="1">
      <c r="B1147" s="203">
        <v>42649</v>
      </c>
      <c r="C1147" s="202">
        <v>4.6592060000000002</v>
      </c>
      <c r="D1147" s="202">
        <v>2.678544</v>
      </c>
      <c r="E1147" s="3"/>
    </row>
    <row r="1148" spans="2:5" ht="13.25" customHeight="1">
      <c r="B1148" s="203">
        <v>42650</v>
      </c>
      <c r="C1148" s="202">
        <v>4.5635339999999998</v>
      </c>
      <c r="D1148" s="202">
        <v>2.9150740000000002</v>
      </c>
      <c r="E1148" s="3"/>
    </row>
    <row r="1149" spans="2:5" ht="13.25" customHeight="1">
      <c r="B1149" s="203">
        <v>42653</v>
      </c>
      <c r="C1149" s="202">
        <v>4.5802769999999997</v>
      </c>
      <c r="D1149" s="202">
        <v>2.6408200000000002</v>
      </c>
      <c r="E1149" s="3"/>
    </row>
    <row r="1150" spans="2:5" ht="13.25" customHeight="1">
      <c r="B1150" s="203">
        <v>42654</v>
      </c>
      <c r="C1150" s="202">
        <v>4.5922369999999999</v>
      </c>
      <c r="D1150" s="202">
        <v>2.1346560000000001</v>
      </c>
      <c r="E1150" s="3"/>
    </row>
    <row r="1151" spans="2:5" ht="13.25" customHeight="1">
      <c r="B1151" s="203">
        <v>42655</v>
      </c>
      <c r="C1151" s="202">
        <v>4.5922369999999999</v>
      </c>
      <c r="D1151" s="202">
        <v>2.7346539999999999</v>
      </c>
      <c r="E1151" s="3"/>
    </row>
    <row r="1152" spans="2:5" ht="13.25" customHeight="1">
      <c r="B1152" s="203">
        <v>42656</v>
      </c>
      <c r="C1152" s="202">
        <v>4.5348319999999998</v>
      </c>
      <c r="D1152" s="202">
        <v>2.623434</v>
      </c>
      <c r="E1152" s="3"/>
    </row>
    <row r="1153" spans="2:5" ht="13.25" customHeight="1">
      <c r="B1153" s="203">
        <v>42657</v>
      </c>
      <c r="C1153" s="202">
        <v>4.6376799999999996</v>
      </c>
      <c r="D1153" s="202">
        <v>1.979832</v>
      </c>
      <c r="E1153" s="3"/>
    </row>
    <row r="1154" spans="2:5" ht="13.25" customHeight="1">
      <c r="B1154" s="203">
        <v>42660</v>
      </c>
      <c r="C1154" s="202">
        <v>4.530049</v>
      </c>
      <c r="D1154" s="202">
        <v>2.790022</v>
      </c>
      <c r="E1154" s="3"/>
    </row>
    <row r="1155" spans="2:5" ht="13.25" customHeight="1">
      <c r="B1155" s="203">
        <v>42661</v>
      </c>
      <c r="C1155" s="202">
        <v>4.5898450000000004</v>
      </c>
      <c r="D1155" s="202">
        <v>2.3001659999999999</v>
      </c>
      <c r="E1155" s="3"/>
    </row>
    <row r="1156" spans="2:5" ht="13.25" customHeight="1">
      <c r="B1156" s="203">
        <v>42662</v>
      </c>
      <c r="C1156" s="202">
        <v>4.6161539999999999</v>
      </c>
      <c r="D1156" s="202">
        <v>2.7654860000000001</v>
      </c>
      <c r="E1156" s="3"/>
    </row>
    <row r="1157" spans="2:5" ht="13.25" customHeight="1">
      <c r="B1157" s="203">
        <v>42663</v>
      </c>
      <c r="C1157" s="202">
        <v>4.5802769999999997</v>
      </c>
      <c r="D1157" s="202">
        <v>1.6894979999999999</v>
      </c>
      <c r="E1157" s="3"/>
    </row>
    <row r="1158" spans="2:5" ht="13.25" customHeight="1">
      <c r="B1158" s="203">
        <v>42664</v>
      </c>
      <c r="C1158" s="202">
        <v>4.5539670000000001</v>
      </c>
      <c r="D1158" s="202">
        <v>1.9690099999999999</v>
      </c>
      <c r="E1158" s="3"/>
    </row>
    <row r="1159" spans="2:5" ht="13.25" customHeight="1">
      <c r="B1159" s="203">
        <v>42667</v>
      </c>
      <c r="C1159" s="202">
        <v>4.4535119999999999</v>
      </c>
      <c r="D1159" s="202">
        <v>4.2482559999999996</v>
      </c>
      <c r="E1159" s="3"/>
    </row>
    <row r="1160" spans="2:5" ht="13.25" customHeight="1">
      <c r="B1160" s="203">
        <v>42668</v>
      </c>
      <c r="C1160" s="202">
        <v>4.4582959999999998</v>
      </c>
      <c r="D1160" s="202">
        <v>2.9998559999999999</v>
      </c>
      <c r="E1160" s="3"/>
    </row>
    <row r="1161" spans="2:5" ht="13.25" customHeight="1">
      <c r="B1161" s="203">
        <v>42669</v>
      </c>
      <c r="C1161" s="202">
        <v>4.4200270000000002</v>
      </c>
      <c r="D1161" s="202">
        <v>2.1874799999999999</v>
      </c>
      <c r="E1161" s="3"/>
    </row>
    <row r="1162" spans="2:5" ht="13.25" customHeight="1">
      <c r="B1162" s="203">
        <v>42670</v>
      </c>
      <c r="C1162" s="202">
        <v>4.4152430000000003</v>
      </c>
      <c r="D1162" s="202">
        <v>1.620126</v>
      </c>
      <c r="E1162" s="3"/>
    </row>
    <row r="1163" spans="2:5" ht="13.25" customHeight="1">
      <c r="B1163" s="203">
        <v>42671</v>
      </c>
      <c r="C1163" s="202">
        <v>4.3913260000000003</v>
      </c>
      <c r="D1163" s="202">
        <v>1.88568</v>
      </c>
      <c r="E1163" s="3"/>
    </row>
    <row r="1164" spans="2:5" ht="13.25" customHeight="1">
      <c r="B1164" s="203">
        <v>42674</v>
      </c>
      <c r="C1164" s="202">
        <v>4.3889339999999999</v>
      </c>
      <c r="D1164" s="202">
        <v>1.923</v>
      </c>
      <c r="E1164" s="3"/>
    </row>
    <row r="1165" spans="2:5" ht="13.25" customHeight="1">
      <c r="B1165" s="203">
        <v>42675</v>
      </c>
      <c r="C1165" s="202">
        <v>4.3410979999999997</v>
      </c>
      <c r="D1165" s="202">
        <v>2.0479379999999998</v>
      </c>
      <c r="E1165" s="3"/>
    </row>
    <row r="1166" spans="2:5" ht="13.25" customHeight="1">
      <c r="B1166" s="203">
        <v>42676</v>
      </c>
      <c r="C1166" s="202">
        <v>4.29087</v>
      </c>
      <c r="D1166" s="202">
        <v>3.026484</v>
      </c>
      <c r="E1166" s="3"/>
    </row>
    <row r="1167" spans="2:5" ht="13.25" customHeight="1">
      <c r="B1167" s="203">
        <v>42677</v>
      </c>
      <c r="C1167" s="202">
        <v>4.2430349999999999</v>
      </c>
      <c r="D1167" s="202">
        <v>3.0625439999999999</v>
      </c>
      <c r="E1167" s="3"/>
    </row>
    <row r="1168" spans="2:5" ht="13.25" customHeight="1">
      <c r="B1168" s="203">
        <v>42678</v>
      </c>
      <c r="C1168" s="202">
        <v>4.1760640000000002</v>
      </c>
      <c r="D1168" s="202">
        <v>2.8976440000000001</v>
      </c>
      <c r="E1168" s="3"/>
    </row>
    <row r="1169" spans="2:5" ht="13.25" customHeight="1">
      <c r="B1169" s="203">
        <v>42681</v>
      </c>
      <c r="C1169" s="202">
        <v>4.3267470000000001</v>
      </c>
      <c r="D1169" s="202">
        <v>3.3121800000000001</v>
      </c>
      <c r="E1169" s="3"/>
    </row>
    <row r="1170" spans="2:5" ht="13.25" customHeight="1">
      <c r="B1170" s="203">
        <v>42682</v>
      </c>
      <c r="C1170" s="202">
        <v>4.2860870000000002</v>
      </c>
      <c r="D1170" s="202">
        <v>5.3177599999999998</v>
      </c>
      <c r="E1170" s="3"/>
    </row>
    <row r="1171" spans="2:5" ht="13.25" customHeight="1">
      <c r="B1171" s="203">
        <v>42683</v>
      </c>
      <c r="C1171" s="202">
        <v>4.238251</v>
      </c>
      <c r="D1171" s="202">
        <v>3.14832</v>
      </c>
      <c r="E1171" s="3"/>
    </row>
    <row r="1172" spans="2:5" ht="13.25" customHeight="1">
      <c r="B1172" s="203">
        <v>42684</v>
      </c>
      <c r="C1172" s="202">
        <v>4.0349490000000001</v>
      </c>
      <c r="D1172" s="202">
        <v>6.1692840000000002</v>
      </c>
      <c r="E1172" s="3"/>
    </row>
    <row r="1173" spans="2:5" ht="13.25" customHeight="1">
      <c r="B1173" s="203">
        <v>42685</v>
      </c>
      <c r="C1173" s="202">
        <v>4.0325569999999997</v>
      </c>
      <c r="D1173" s="202">
        <v>3.0680260000000001</v>
      </c>
      <c r="E1173" s="3"/>
    </row>
    <row r="1174" spans="2:5" ht="13.25" customHeight="1">
      <c r="B1174" s="203">
        <v>42688</v>
      </c>
      <c r="C1174" s="202">
        <v>4.1138789999999998</v>
      </c>
      <c r="D1174" s="202">
        <v>4.0637259999999999</v>
      </c>
      <c r="E1174" s="3"/>
    </row>
    <row r="1175" spans="2:5" ht="13.25" customHeight="1">
      <c r="B1175" s="203">
        <v>42689</v>
      </c>
      <c r="C1175" s="202">
        <v>4.2071589999999999</v>
      </c>
      <c r="D1175" s="202">
        <v>2.9721380000000002</v>
      </c>
      <c r="E1175" s="3"/>
    </row>
    <row r="1176" spans="2:5" ht="13.25" customHeight="1">
      <c r="B1176" s="203">
        <v>42690</v>
      </c>
      <c r="C1176" s="202">
        <v>4.0971359999999999</v>
      </c>
      <c r="D1176" s="202">
        <v>2.9484460000000001</v>
      </c>
      <c r="E1176" s="3"/>
    </row>
    <row r="1177" spans="2:5" ht="13.25" customHeight="1">
      <c r="B1177" s="203">
        <v>42691</v>
      </c>
      <c r="C1177" s="202">
        <v>4.2119419999999996</v>
      </c>
      <c r="D1177" s="202">
        <v>3.1167539999999998</v>
      </c>
      <c r="E1177" s="3"/>
    </row>
    <row r="1178" spans="2:5" ht="13.25" customHeight="1">
      <c r="B1178" s="203">
        <v>42692</v>
      </c>
      <c r="C1178" s="202">
        <v>4.2310759999999998</v>
      </c>
      <c r="D1178" s="202">
        <v>3.9954900000000002</v>
      </c>
      <c r="E1178" s="3"/>
    </row>
    <row r="1179" spans="2:5" ht="13.25" customHeight="1">
      <c r="B1179" s="203">
        <v>42695</v>
      </c>
      <c r="C1179" s="202">
        <v>4.2430349999999999</v>
      </c>
      <c r="D1179" s="202">
        <v>2.806476</v>
      </c>
      <c r="E1179" s="3"/>
    </row>
    <row r="1180" spans="2:5" ht="13.25" customHeight="1">
      <c r="B1180" s="203">
        <v>42696</v>
      </c>
      <c r="C1180" s="202">
        <v>4.2549939999999999</v>
      </c>
      <c r="D1180" s="202">
        <v>2.424194</v>
      </c>
      <c r="E1180" s="3"/>
    </row>
    <row r="1181" spans="2:5" ht="13.25" customHeight="1">
      <c r="B1181" s="203">
        <v>42697</v>
      </c>
      <c r="C1181" s="202">
        <v>4.2956539999999999</v>
      </c>
      <c r="D1181" s="202">
        <v>3.275118</v>
      </c>
      <c r="E1181" s="3"/>
    </row>
    <row r="1182" spans="2:5" ht="13.25" customHeight="1">
      <c r="B1182" s="203">
        <v>42698</v>
      </c>
      <c r="C1182" s="202">
        <v>4.2717359999999998</v>
      </c>
      <c r="D1182" s="202">
        <v>2.0196719999999999</v>
      </c>
      <c r="E1182" s="3"/>
    </row>
    <row r="1183" spans="2:5" ht="13.25" customHeight="1">
      <c r="B1183" s="203">
        <v>42699</v>
      </c>
      <c r="C1183" s="202">
        <v>4.3339230000000004</v>
      </c>
      <c r="D1183" s="202">
        <v>2.1824159999999999</v>
      </c>
      <c r="E1183" s="3"/>
    </row>
    <row r="1184" spans="2:5" ht="13.25" customHeight="1">
      <c r="B1184" s="203">
        <v>42702</v>
      </c>
      <c r="C1184" s="202">
        <v>4.2884789999999997</v>
      </c>
      <c r="D1184" s="202">
        <v>2.2819500000000001</v>
      </c>
      <c r="E1184" s="3"/>
    </row>
    <row r="1185" spans="2:5" ht="13.25" customHeight="1">
      <c r="B1185" s="203">
        <v>42703</v>
      </c>
      <c r="C1185" s="202">
        <v>4.2956539999999999</v>
      </c>
      <c r="D1185" s="202">
        <v>2.3837380000000001</v>
      </c>
      <c r="E1185" s="3"/>
    </row>
    <row r="1186" spans="2:5" ht="13.25" customHeight="1">
      <c r="B1186" s="203">
        <v>42704</v>
      </c>
      <c r="C1186" s="202">
        <v>4.3530569999999997</v>
      </c>
      <c r="D1186" s="202">
        <v>2.7764899999999999</v>
      </c>
      <c r="E1186" s="3"/>
    </row>
    <row r="1187" spans="2:5" ht="13.25" customHeight="1">
      <c r="B1187" s="203">
        <v>42705</v>
      </c>
      <c r="C1187" s="202">
        <v>4.2669519999999999</v>
      </c>
      <c r="D1187" s="202">
        <v>3.028152</v>
      </c>
      <c r="E1187" s="3"/>
    </row>
    <row r="1188" spans="2:5" ht="13.25" customHeight="1">
      <c r="B1188" s="203">
        <v>42706</v>
      </c>
      <c r="C1188" s="202">
        <v>4.238251</v>
      </c>
      <c r="D1188" s="202">
        <v>3.6985459999999999</v>
      </c>
      <c r="E1188" s="3"/>
    </row>
    <row r="1189" spans="2:5" ht="13.25" customHeight="1">
      <c r="B1189" s="203">
        <v>42709</v>
      </c>
      <c r="C1189" s="202">
        <v>4.3123969999999998</v>
      </c>
      <c r="D1189" s="202">
        <v>2.4626060000000001</v>
      </c>
      <c r="E1189" s="3"/>
    </row>
    <row r="1190" spans="2:5" ht="13.25" customHeight="1">
      <c r="B1190" s="203">
        <v>42710</v>
      </c>
      <c r="C1190" s="202">
        <v>4.3817589999999997</v>
      </c>
      <c r="D1190" s="202">
        <v>2.30355</v>
      </c>
      <c r="E1190" s="3"/>
    </row>
    <row r="1191" spans="2:5" ht="13.25" customHeight="1">
      <c r="B1191" s="203">
        <v>42711</v>
      </c>
      <c r="C1191" s="202">
        <v>4.331531</v>
      </c>
      <c r="D1191" s="202">
        <v>4.0405699999999998</v>
      </c>
      <c r="E1191" s="3"/>
    </row>
    <row r="1192" spans="2:5" ht="13.25" customHeight="1">
      <c r="B1192" s="203">
        <v>42712</v>
      </c>
      <c r="C1192" s="202">
        <v>4.4056759999999997</v>
      </c>
      <c r="D1192" s="202">
        <v>3.4765380000000001</v>
      </c>
      <c r="E1192" s="3"/>
    </row>
    <row r="1193" spans="2:5" ht="13.25" customHeight="1">
      <c r="B1193" s="203">
        <v>42713</v>
      </c>
      <c r="C1193" s="202">
        <v>4.4511209999999997</v>
      </c>
      <c r="D1193" s="202">
        <v>2.4237899999999999</v>
      </c>
      <c r="E1193" s="3"/>
    </row>
    <row r="1194" spans="2:5" ht="13.25" customHeight="1">
      <c r="B1194" s="203">
        <v>42716</v>
      </c>
      <c r="C1194" s="202">
        <v>4.4200270000000002</v>
      </c>
      <c r="D1194" s="202">
        <v>1.5313000000000001</v>
      </c>
      <c r="E1194" s="3"/>
    </row>
    <row r="1195" spans="2:5" ht="13.25" customHeight="1">
      <c r="B1195" s="203">
        <v>42717</v>
      </c>
      <c r="C1195" s="202">
        <v>4.4582959999999998</v>
      </c>
      <c r="D1195" s="202">
        <v>2.5520480000000001</v>
      </c>
      <c r="E1195" s="3"/>
    </row>
    <row r="1196" spans="2:5" ht="13.25" customHeight="1">
      <c r="B1196" s="203">
        <v>42718</v>
      </c>
      <c r="C1196" s="202">
        <v>4.3745830000000003</v>
      </c>
      <c r="D1196" s="202">
        <v>3.0008560000000002</v>
      </c>
      <c r="E1196" s="3"/>
    </row>
    <row r="1197" spans="2:5" ht="13.25" customHeight="1">
      <c r="B1197" s="203">
        <v>42719</v>
      </c>
      <c r="C1197" s="202">
        <v>4.3626240000000003</v>
      </c>
      <c r="D1197" s="202">
        <v>3.3999280000000001</v>
      </c>
      <c r="E1197" s="3"/>
    </row>
    <row r="1198" spans="2:5" ht="13.25" customHeight="1">
      <c r="B1198" s="203">
        <v>42720</v>
      </c>
      <c r="C1198" s="202">
        <v>4.3865420000000004</v>
      </c>
      <c r="D1198" s="202">
        <v>3.8926259999999999</v>
      </c>
      <c r="E1198" s="3"/>
    </row>
    <row r="1199" spans="2:5" ht="13.25" customHeight="1">
      <c r="B1199" s="203">
        <v>42723</v>
      </c>
      <c r="C1199" s="202">
        <v>4.4582959999999998</v>
      </c>
      <c r="D1199" s="202">
        <v>1.9595560000000001</v>
      </c>
      <c r="E1199" s="3"/>
    </row>
    <row r="1200" spans="2:5" ht="13.25" customHeight="1">
      <c r="B1200" s="203">
        <v>42724</v>
      </c>
      <c r="C1200" s="202">
        <v>4.4080680000000001</v>
      </c>
      <c r="D1200" s="202">
        <v>2.330584</v>
      </c>
      <c r="E1200" s="3"/>
    </row>
    <row r="1201" spans="2:5" ht="13.25" customHeight="1">
      <c r="B1201" s="203">
        <v>42725</v>
      </c>
      <c r="C1201" s="202">
        <v>4.4200270000000002</v>
      </c>
      <c r="D1201" s="202">
        <v>1.752702</v>
      </c>
      <c r="E1201" s="3"/>
    </row>
    <row r="1202" spans="2:5" ht="13.25" customHeight="1">
      <c r="B1202" s="203">
        <v>42726</v>
      </c>
      <c r="C1202" s="202">
        <v>4.3913260000000003</v>
      </c>
      <c r="D1202" s="202">
        <v>1.063574</v>
      </c>
      <c r="E1202" s="3"/>
    </row>
    <row r="1203" spans="2:5" ht="13.25" customHeight="1">
      <c r="B1203" s="203">
        <v>42727</v>
      </c>
      <c r="C1203" s="202">
        <v>4.4439450000000003</v>
      </c>
      <c r="D1203" s="202">
        <v>0.97375400000000001</v>
      </c>
      <c r="E1203" s="3"/>
    </row>
    <row r="1204" spans="2:5" ht="13.25" customHeight="1">
      <c r="B1204" s="203">
        <v>42731</v>
      </c>
      <c r="C1204" s="202">
        <v>4.4439450000000003</v>
      </c>
      <c r="D1204" s="202">
        <v>0.75280199999999997</v>
      </c>
      <c r="E1204" s="3"/>
    </row>
    <row r="1205" spans="2:5" ht="13.25" customHeight="1">
      <c r="B1205" s="203">
        <v>42732</v>
      </c>
      <c r="C1205" s="202">
        <v>4.4343779999999997</v>
      </c>
      <c r="D1205" s="202">
        <v>1.3006819999999999</v>
      </c>
      <c r="E1205" s="3"/>
    </row>
    <row r="1206" spans="2:5" ht="13.25" customHeight="1">
      <c r="B1206" s="203">
        <v>42733</v>
      </c>
      <c r="C1206" s="202">
        <v>4.4295949999999999</v>
      </c>
      <c r="D1206" s="202">
        <v>0.99923399999999996</v>
      </c>
      <c r="E1206" s="3"/>
    </row>
    <row r="1207" spans="2:5" ht="13.25" customHeight="1">
      <c r="B1207" s="203">
        <v>42734</v>
      </c>
      <c r="C1207" s="202">
        <v>4.4439450000000003</v>
      </c>
      <c r="D1207" s="202">
        <v>0.84262199999999998</v>
      </c>
      <c r="E1207" s="3"/>
    </row>
    <row r="1208" spans="2:5" ht="13.25" customHeight="1">
      <c r="B1208" s="203">
        <v>42737</v>
      </c>
      <c r="C1208" s="202">
        <v>4.47743</v>
      </c>
      <c r="D1208" s="202">
        <v>0.86640399999999995</v>
      </c>
      <c r="E1208" s="3"/>
    </row>
    <row r="1209" spans="2:5" ht="13.25" customHeight="1">
      <c r="B1209" s="203">
        <v>42738</v>
      </c>
      <c r="C1209" s="202">
        <v>4.4295949999999999</v>
      </c>
      <c r="D1209" s="202">
        <v>2.2576040000000002</v>
      </c>
      <c r="E1209" s="3"/>
    </row>
    <row r="1210" spans="2:5" ht="13.25" customHeight="1">
      <c r="B1210" s="203">
        <v>42739</v>
      </c>
      <c r="C1210" s="202">
        <v>4.4487290000000002</v>
      </c>
      <c r="D1210" s="202">
        <v>1.29505</v>
      </c>
      <c r="E1210" s="3"/>
    </row>
    <row r="1211" spans="2:5" ht="13.25" customHeight="1">
      <c r="B1211" s="203">
        <v>42740</v>
      </c>
      <c r="C1211" s="202">
        <v>4.4582959999999998</v>
      </c>
      <c r="D1211" s="202">
        <v>1.18533</v>
      </c>
      <c r="E1211" s="3"/>
    </row>
    <row r="1212" spans="2:5" ht="13.25" customHeight="1">
      <c r="B1212" s="203">
        <v>42741</v>
      </c>
      <c r="C1212" s="202">
        <v>4.4535119999999999</v>
      </c>
      <c r="D1212" s="202">
        <v>1.271056</v>
      </c>
      <c r="E1212" s="3"/>
    </row>
    <row r="1213" spans="2:5" ht="13.25" customHeight="1">
      <c r="B1213" s="203">
        <v>42744</v>
      </c>
      <c r="C1213" s="202">
        <v>4.4104599999999996</v>
      </c>
      <c r="D1213" s="202">
        <v>1.0963320000000001</v>
      </c>
      <c r="E1213" s="3"/>
    </row>
    <row r="1214" spans="2:5" ht="13.25" customHeight="1">
      <c r="B1214" s="203">
        <v>42745</v>
      </c>
      <c r="C1214" s="202">
        <v>4.4535119999999999</v>
      </c>
      <c r="D1214" s="202">
        <v>1.5198940000000001</v>
      </c>
      <c r="E1214" s="3"/>
    </row>
    <row r="1215" spans="2:5" ht="13.25" customHeight="1">
      <c r="B1215" s="203">
        <v>42746</v>
      </c>
      <c r="C1215" s="202">
        <v>4.4846060000000003</v>
      </c>
      <c r="D1215" s="202">
        <v>2.317396</v>
      </c>
      <c r="E1215" s="3"/>
    </row>
    <row r="1216" spans="2:5" ht="13.25" customHeight="1">
      <c r="B1216" s="203">
        <v>42747</v>
      </c>
      <c r="C1216" s="202">
        <v>4.4104599999999996</v>
      </c>
      <c r="D1216" s="202">
        <v>2.228192</v>
      </c>
      <c r="E1216" s="3"/>
    </row>
    <row r="1217" spans="2:5" ht="13.25" customHeight="1">
      <c r="B1217" s="203">
        <v>42748</v>
      </c>
      <c r="C1217" s="202">
        <v>4.4582959999999998</v>
      </c>
      <c r="D1217" s="202">
        <v>1.874854</v>
      </c>
      <c r="E1217" s="3"/>
    </row>
    <row r="1218" spans="2:5" ht="13.25" customHeight="1">
      <c r="B1218" s="203">
        <v>42751</v>
      </c>
      <c r="C1218" s="202">
        <v>4.4606880000000002</v>
      </c>
      <c r="D1218" s="202">
        <v>1.7914639999999999</v>
      </c>
      <c r="E1218" s="3"/>
    </row>
    <row r="1219" spans="2:5" ht="13.25" customHeight="1">
      <c r="B1219" s="203">
        <v>42752</v>
      </c>
      <c r="C1219" s="202">
        <v>4.4559040000000003</v>
      </c>
      <c r="D1219" s="202">
        <v>1.431052</v>
      </c>
      <c r="E1219" s="3"/>
    </row>
    <row r="1220" spans="2:5" ht="13.25" customHeight="1">
      <c r="B1220" s="203">
        <v>42753</v>
      </c>
      <c r="C1220" s="202">
        <v>4.558751</v>
      </c>
      <c r="D1220" s="202">
        <v>2.3016559999999999</v>
      </c>
      <c r="E1220" s="3"/>
    </row>
    <row r="1221" spans="2:5" ht="13.25" customHeight="1">
      <c r="B1221" s="203">
        <v>42754</v>
      </c>
      <c r="C1221" s="202">
        <v>4.6065870000000002</v>
      </c>
      <c r="D1221" s="202">
        <v>3.3836759999999999</v>
      </c>
      <c r="E1221" s="3"/>
    </row>
    <row r="1222" spans="2:5" ht="13.25" customHeight="1">
      <c r="B1222" s="203">
        <v>42755</v>
      </c>
      <c r="C1222" s="202">
        <v>4.5467919999999999</v>
      </c>
      <c r="D1222" s="202">
        <v>1.513072</v>
      </c>
      <c r="E1222" s="3"/>
    </row>
    <row r="1223" spans="2:5" ht="13.25" customHeight="1">
      <c r="B1223" s="203">
        <v>42758</v>
      </c>
      <c r="C1223" s="202">
        <v>4.5133070000000002</v>
      </c>
      <c r="D1223" s="202">
        <v>2.1183839999999998</v>
      </c>
      <c r="E1223" s="3"/>
    </row>
    <row r="1224" spans="2:5" ht="13.25" customHeight="1">
      <c r="B1224" s="203">
        <v>42759</v>
      </c>
      <c r="C1224" s="202">
        <v>4.522875</v>
      </c>
      <c r="D1224" s="202">
        <v>3.0474700000000001</v>
      </c>
      <c r="E1224" s="3"/>
    </row>
    <row r="1225" spans="2:5" ht="13.25" customHeight="1">
      <c r="B1225" s="203">
        <v>42760</v>
      </c>
      <c r="C1225" s="202">
        <v>4.5563589999999996</v>
      </c>
      <c r="D1225" s="202">
        <v>2.0032220000000001</v>
      </c>
      <c r="E1225" s="3"/>
    </row>
    <row r="1226" spans="2:5" ht="13.25" customHeight="1">
      <c r="B1226" s="203">
        <v>42761</v>
      </c>
      <c r="C1226" s="202">
        <v>4.5563589999999996</v>
      </c>
      <c r="D1226" s="202">
        <v>4.1916840000000004</v>
      </c>
      <c r="E1226" s="3"/>
    </row>
    <row r="1227" spans="2:5" ht="13.25" customHeight="1">
      <c r="B1227" s="203">
        <v>42762</v>
      </c>
      <c r="C1227" s="202">
        <v>4.5563589999999996</v>
      </c>
      <c r="D1227" s="202">
        <v>1.6113820000000001</v>
      </c>
      <c r="E1227" s="3"/>
    </row>
    <row r="1228" spans="2:5" ht="13.25" customHeight="1">
      <c r="B1228" s="203">
        <v>42765</v>
      </c>
      <c r="C1228" s="202">
        <v>4.4893890000000001</v>
      </c>
      <c r="D1228" s="202">
        <v>2.6695359999999999</v>
      </c>
      <c r="E1228" s="3"/>
    </row>
    <row r="1229" spans="2:5" ht="13.25" customHeight="1">
      <c r="B1229" s="203">
        <v>42766</v>
      </c>
      <c r="C1229" s="202">
        <v>4.4391610000000004</v>
      </c>
      <c r="D1229" s="202">
        <v>2.1736040000000001</v>
      </c>
      <c r="E1229" s="3"/>
    </row>
    <row r="1230" spans="2:5" ht="13.25" customHeight="1">
      <c r="B1230" s="203">
        <v>42767</v>
      </c>
      <c r="C1230" s="202">
        <v>4.4726460000000001</v>
      </c>
      <c r="D1230" s="202">
        <v>2.613766</v>
      </c>
      <c r="E1230" s="3"/>
    </row>
    <row r="1231" spans="2:5" ht="13.25" customHeight="1">
      <c r="B1231" s="203">
        <v>42768</v>
      </c>
      <c r="C1231" s="202">
        <v>4.5276579999999997</v>
      </c>
      <c r="D1231" s="202">
        <v>1.8177859999999999</v>
      </c>
      <c r="E1231" s="3"/>
    </row>
    <row r="1232" spans="2:5" ht="13.25" customHeight="1">
      <c r="B1232" s="203">
        <v>42769</v>
      </c>
      <c r="C1232" s="202">
        <v>4.5922369999999999</v>
      </c>
      <c r="D1232" s="202">
        <v>2.7006399999999999</v>
      </c>
      <c r="E1232" s="3"/>
    </row>
    <row r="1233" spans="2:5" ht="13.25" customHeight="1">
      <c r="B1233" s="203">
        <v>42772</v>
      </c>
      <c r="C1233" s="202">
        <v>4.5180899999999999</v>
      </c>
      <c r="D1233" s="202">
        <v>2.3136040000000002</v>
      </c>
      <c r="E1233" s="3"/>
    </row>
    <row r="1234" spans="2:5" ht="13.25" customHeight="1">
      <c r="B1234" s="203">
        <v>42773</v>
      </c>
      <c r="C1234" s="202">
        <v>4.5276579999999997</v>
      </c>
      <c r="D1234" s="202">
        <v>1.462062</v>
      </c>
      <c r="E1234" s="3"/>
    </row>
    <row r="1235" spans="2:5" ht="13.25" customHeight="1">
      <c r="B1235" s="203">
        <v>42774</v>
      </c>
      <c r="C1235" s="202">
        <v>4.5635339999999998</v>
      </c>
      <c r="D1235" s="202">
        <v>1.5205960000000001</v>
      </c>
      <c r="E1235" s="3"/>
    </row>
    <row r="1236" spans="2:5" ht="13.25" customHeight="1">
      <c r="B1236" s="203">
        <v>42775</v>
      </c>
      <c r="C1236" s="202">
        <v>4.5826690000000001</v>
      </c>
      <c r="D1236" s="202">
        <v>1.2742640000000001</v>
      </c>
      <c r="E1236" s="3"/>
    </row>
    <row r="1237" spans="2:5" ht="13.25" customHeight="1">
      <c r="B1237" s="203">
        <v>42776</v>
      </c>
      <c r="C1237" s="202">
        <v>4.5611430000000004</v>
      </c>
      <c r="D1237" s="202">
        <v>1.275542</v>
      </c>
      <c r="E1237" s="3"/>
    </row>
    <row r="1238" spans="2:5" ht="13.25" customHeight="1">
      <c r="B1238" s="203">
        <v>42779</v>
      </c>
      <c r="C1238" s="202">
        <v>4.6137620000000004</v>
      </c>
      <c r="D1238" s="202">
        <v>1.1301019999999999</v>
      </c>
      <c r="E1238" s="3"/>
    </row>
    <row r="1239" spans="2:5" ht="13.25" customHeight="1">
      <c r="B1239" s="203">
        <v>42780</v>
      </c>
      <c r="C1239" s="202">
        <v>4.6137620000000004</v>
      </c>
      <c r="D1239" s="202">
        <v>1.860222</v>
      </c>
      <c r="E1239" s="3"/>
    </row>
    <row r="1240" spans="2:5" ht="13.25" customHeight="1">
      <c r="B1240" s="203">
        <v>42781</v>
      </c>
      <c r="C1240" s="202">
        <v>4.5826690000000001</v>
      </c>
      <c r="D1240" s="202">
        <v>1.794346</v>
      </c>
      <c r="E1240" s="3"/>
    </row>
    <row r="1241" spans="2:5" ht="13.25" customHeight="1">
      <c r="B1241" s="203">
        <v>42782</v>
      </c>
      <c r="C1241" s="202">
        <v>4.6328959999999997</v>
      </c>
      <c r="D1241" s="202">
        <v>1.175314</v>
      </c>
      <c r="E1241" s="3"/>
    </row>
    <row r="1242" spans="2:5" ht="13.25" customHeight="1">
      <c r="B1242" s="203">
        <v>42783</v>
      </c>
      <c r="C1242" s="202">
        <v>4.6281129999999999</v>
      </c>
      <c r="D1242" s="202">
        <v>1.2301139999999999</v>
      </c>
      <c r="E1242" s="3"/>
    </row>
    <row r="1243" spans="2:5" ht="13.25" customHeight="1">
      <c r="B1243" s="203">
        <v>42786</v>
      </c>
      <c r="C1243" s="202">
        <v>4.6352880000000001</v>
      </c>
      <c r="D1243" s="202">
        <v>0.704542</v>
      </c>
      <c r="E1243" s="3"/>
    </row>
    <row r="1244" spans="2:5" ht="13.25" customHeight="1">
      <c r="B1244" s="203">
        <v>42787</v>
      </c>
      <c r="C1244" s="202">
        <v>4.6735569999999997</v>
      </c>
      <c r="D1244" s="202">
        <v>2.0951620000000002</v>
      </c>
      <c r="E1244" s="3"/>
    </row>
    <row r="1245" spans="2:5" ht="13.25" customHeight="1">
      <c r="B1245" s="203">
        <v>42788</v>
      </c>
      <c r="C1245" s="202">
        <v>4.6735569999999997</v>
      </c>
      <c r="D1245" s="202">
        <v>3.162944</v>
      </c>
      <c r="E1245" s="3"/>
    </row>
    <row r="1246" spans="2:5" ht="13.25" customHeight="1">
      <c r="B1246" s="203">
        <v>42789</v>
      </c>
      <c r="C1246" s="202">
        <v>4.6687729999999998</v>
      </c>
      <c r="D1246" s="202">
        <v>1.2414240000000001</v>
      </c>
      <c r="E1246" s="3"/>
    </row>
    <row r="1247" spans="2:5" ht="13.25" customHeight="1">
      <c r="B1247" s="203">
        <v>42790</v>
      </c>
      <c r="C1247" s="202">
        <v>4.6113710000000001</v>
      </c>
      <c r="D1247" s="202">
        <v>1.7027620000000001</v>
      </c>
      <c r="E1247" s="3"/>
    </row>
    <row r="1248" spans="2:5" ht="13.25" customHeight="1">
      <c r="B1248" s="203">
        <v>42793</v>
      </c>
      <c r="C1248" s="202">
        <v>4.6663819999999996</v>
      </c>
      <c r="D1248" s="202">
        <v>1.2477720000000001</v>
      </c>
      <c r="E1248" s="3"/>
    </row>
    <row r="1249" spans="2:5" ht="13.25" customHeight="1">
      <c r="B1249" s="203">
        <v>42794</v>
      </c>
      <c r="C1249" s="202">
        <v>4.5683179999999997</v>
      </c>
      <c r="D1249" s="202">
        <v>4.118042</v>
      </c>
      <c r="E1249" s="3"/>
    </row>
    <row r="1250" spans="2:5" ht="13.25" customHeight="1">
      <c r="B1250" s="203">
        <v>42795</v>
      </c>
      <c r="C1250" s="202">
        <v>4.6496389999999996</v>
      </c>
      <c r="D1250" s="202">
        <v>3.2035</v>
      </c>
      <c r="E1250" s="3"/>
    </row>
    <row r="1251" spans="2:5" ht="13.25" customHeight="1">
      <c r="B1251" s="203">
        <v>42796</v>
      </c>
      <c r="C1251" s="202">
        <v>4.6424630000000002</v>
      </c>
      <c r="D1251" s="202">
        <v>2.5386340000000001</v>
      </c>
      <c r="E1251" s="3"/>
    </row>
    <row r="1252" spans="2:5" ht="13.25" customHeight="1">
      <c r="B1252" s="203">
        <v>42797</v>
      </c>
      <c r="C1252" s="202">
        <v>4.6615979999999997</v>
      </c>
      <c r="D1252" s="202">
        <v>1.7653460000000001</v>
      </c>
      <c r="E1252" s="3"/>
    </row>
    <row r="1253" spans="2:5" ht="13.25" customHeight="1">
      <c r="B1253" s="203">
        <v>42800</v>
      </c>
      <c r="C1253" s="202">
        <v>4.6424630000000002</v>
      </c>
      <c r="D1253" s="202">
        <v>2.1519919999999999</v>
      </c>
      <c r="E1253" s="3"/>
    </row>
    <row r="1254" spans="2:5" ht="13.25" customHeight="1">
      <c r="B1254" s="203">
        <v>42801</v>
      </c>
      <c r="C1254" s="202">
        <v>4.6257210000000004</v>
      </c>
      <c r="D1254" s="202">
        <v>1.2591019999999999</v>
      </c>
      <c r="E1254" s="3"/>
    </row>
    <row r="1255" spans="2:5" ht="13.25" customHeight="1">
      <c r="B1255" s="203">
        <v>42802</v>
      </c>
      <c r="C1255" s="202">
        <v>4.594627</v>
      </c>
      <c r="D1255" s="202">
        <v>2.1428419999999999</v>
      </c>
      <c r="E1255" s="3"/>
    </row>
    <row r="1256" spans="2:5" ht="13.25" customHeight="1">
      <c r="B1256" s="203">
        <v>42803</v>
      </c>
      <c r="C1256" s="202">
        <v>4.5970190000000004</v>
      </c>
      <c r="D1256" s="202">
        <v>1.577698</v>
      </c>
      <c r="E1256" s="3"/>
    </row>
    <row r="1257" spans="2:5" ht="13.25" customHeight="1">
      <c r="B1257" s="203">
        <v>42804</v>
      </c>
      <c r="C1257" s="202">
        <v>4.675948</v>
      </c>
      <c r="D1257" s="202">
        <v>2.0751680000000001</v>
      </c>
      <c r="E1257" s="3"/>
    </row>
    <row r="1258" spans="2:5" ht="13.25" customHeight="1">
      <c r="B1258" s="203">
        <v>42807</v>
      </c>
      <c r="C1258" s="202">
        <v>4.6639900000000001</v>
      </c>
      <c r="D1258" s="202">
        <v>0.98292199999999996</v>
      </c>
      <c r="E1258" s="3"/>
    </row>
    <row r="1259" spans="2:5" ht="13.25" customHeight="1">
      <c r="B1259" s="203">
        <v>42808</v>
      </c>
      <c r="C1259" s="202">
        <v>4.6592060000000002</v>
      </c>
      <c r="D1259" s="202">
        <v>1.388104</v>
      </c>
      <c r="E1259" s="3"/>
    </row>
    <row r="1260" spans="2:5" ht="13.25" customHeight="1">
      <c r="B1260" s="203">
        <v>42809</v>
      </c>
      <c r="C1260" s="202">
        <v>4.6879080000000002</v>
      </c>
      <c r="D1260" s="202">
        <v>1.1383319999999999</v>
      </c>
      <c r="E1260" s="3"/>
    </row>
    <row r="1261" spans="2:5" ht="13.25" customHeight="1">
      <c r="B1261" s="203">
        <v>42810</v>
      </c>
      <c r="C1261" s="202">
        <v>4.7477029999999996</v>
      </c>
      <c r="D1261" s="202">
        <v>2.720132</v>
      </c>
      <c r="E1261" s="3"/>
    </row>
    <row r="1262" spans="2:5" ht="13.25" customHeight="1">
      <c r="B1262" s="203">
        <v>42811</v>
      </c>
      <c r="C1262" s="202">
        <v>4.8361989999999997</v>
      </c>
      <c r="D1262" s="202">
        <v>3.8069359999999999</v>
      </c>
      <c r="E1262" s="3"/>
    </row>
    <row r="1263" spans="2:5" ht="13.25" customHeight="1">
      <c r="B1263" s="203">
        <v>42814</v>
      </c>
      <c r="C1263" s="202">
        <v>4.8505500000000001</v>
      </c>
      <c r="D1263" s="202">
        <v>2.9256280000000001</v>
      </c>
      <c r="E1263" s="3"/>
    </row>
    <row r="1264" spans="2:5" ht="13.25" customHeight="1">
      <c r="B1264" s="203">
        <v>42815</v>
      </c>
      <c r="C1264" s="202">
        <v>4.8361989999999997</v>
      </c>
      <c r="D1264" s="202">
        <v>2.3742559999999999</v>
      </c>
      <c r="E1264" s="3"/>
    </row>
    <row r="1265" spans="2:5" ht="13.25" customHeight="1">
      <c r="B1265" s="203">
        <v>42816</v>
      </c>
      <c r="C1265" s="202">
        <v>4.8266309999999999</v>
      </c>
      <c r="D1265" s="202">
        <v>1.358992</v>
      </c>
      <c r="E1265" s="3"/>
    </row>
    <row r="1266" spans="2:5" ht="13.25" customHeight="1">
      <c r="B1266" s="203">
        <v>42817</v>
      </c>
      <c r="C1266" s="202">
        <v>4.9031690000000001</v>
      </c>
      <c r="D1266" s="202">
        <v>2.2771159999999999</v>
      </c>
      <c r="E1266" s="3"/>
    </row>
    <row r="1267" spans="2:5" ht="13.25" customHeight="1">
      <c r="B1267" s="203">
        <v>42818</v>
      </c>
      <c r="C1267" s="202">
        <v>4.9031690000000001</v>
      </c>
      <c r="D1267" s="202">
        <v>1.7</v>
      </c>
      <c r="E1267" s="3"/>
    </row>
    <row r="1268" spans="2:5" ht="13.25" customHeight="1">
      <c r="B1268" s="203">
        <v>42821</v>
      </c>
      <c r="C1268" s="202">
        <v>4.9270870000000002</v>
      </c>
      <c r="D1268" s="202">
        <v>1.80667</v>
      </c>
      <c r="E1268" s="3"/>
    </row>
    <row r="1269" spans="2:5" ht="13.25" customHeight="1">
      <c r="B1269" s="203">
        <v>42822</v>
      </c>
      <c r="C1269" s="202">
        <v>4.9940569999999997</v>
      </c>
      <c r="D1269" s="202">
        <v>1.9019280000000001</v>
      </c>
      <c r="E1269" s="3"/>
    </row>
    <row r="1270" spans="2:5" ht="13.25" customHeight="1">
      <c r="B1270" s="203">
        <v>42823</v>
      </c>
      <c r="C1270" s="202">
        <v>4.9940569999999997</v>
      </c>
      <c r="D1270" s="202">
        <v>1.6160939999999999</v>
      </c>
      <c r="E1270" s="3"/>
    </row>
    <row r="1271" spans="2:5" ht="13.25" customHeight="1">
      <c r="B1271" s="203">
        <v>42824</v>
      </c>
      <c r="C1271" s="202">
        <v>5.0466759999999997</v>
      </c>
      <c r="D1271" s="202">
        <v>1.4033500000000001</v>
      </c>
      <c r="E1271" s="3"/>
    </row>
    <row r="1272" spans="2:5" ht="13.25" customHeight="1">
      <c r="B1272" s="203">
        <v>42825</v>
      </c>
      <c r="C1272" s="202">
        <v>5.1997499999999999</v>
      </c>
      <c r="D1272" s="202">
        <v>3.6396660000000001</v>
      </c>
      <c r="E1272" s="3"/>
    </row>
    <row r="1274" spans="2:5" ht="13.25" customHeight="1">
      <c r="B1274" s="203">
        <v>42828</v>
      </c>
      <c r="C1274" s="202">
        <v>5.1519149999999998</v>
      </c>
      <c r="D1274" s="202">
        <v>1.9054420000000001</v>
      </c>
    </row>
    <row r="1275" spans="2:5" ht="13.25" customHeight="1">
      <c r="B1275" s="203">
        <v>42829</v>
      </c>
      <c r="C1275" s="202">
        <v>5.2236690000000001</v>
      </c>
      <c r="D1275" s="202">
        <v>1.8448439999999999</v>
      </c>
    </row>
    <row r="1276" spans="2:5" ht="13.25" customHeight="1">
      <c r="B1276" s="203">
        <v>42830</v>
      </c>
      <c r="C1276" s="202">
        <v>5.1471309999999999</v>
      </c>
      <c r="D1276" s="202">
        <v>1.6716979999999999</v>
      </c>
    </row>
    <row r="1277" spans="2:5" ht="13.25" customHeight="1">
      <c r="B1277" s="203">
        <v>42831</v>
      </c>
      <c r="C1277" s="202">
        <v>5.1566989999999997</v>
      </c>
      <c r="D1277" s="202">
        <v>1.3564719999999999</v>
      </c>
    </row>
    <row r="1278" spans="2:5" ht="13.25" customHeight="1">
      <c r="B1278" s="203">
        <v>42832</v>
      </c>
      <c r="C1278" s="202">
        <v>5.0945119999999999</v>
      </c>
      <c r="D1278" s="202">
        <v>2.076864</v>
      </c>
    </row>
    <row r="1279" spans="2:5" ht="13.25" customHeight="1">
      <c r="B1279" s="203">
        <v>42835</v>
      </c>
      <c r="C1279" s="202">
        <v>5.11843</v>
      </c>
      <c r="D1279" s="202">
        <v>0.97629600000000005</v>
      </c>
    </row>
    <row r="1280" spans="2:5" ht="13.25" customHeight="1">
      <c r="B1280" s="203">
        <v>42836</v>
      </c>
      <c r="C1280" s="202">
        <v>5.1279969999999997</v>
      </c>
      <c r="D1280" s="202">
        <v>1.081124</v>
      </c>
    </row>
    <row r="1281" spans="2:4" ht="13.25" customHeight="1">
      <c r="B1281" s="203">
        <v>42837</v>
      </c>
      <c r="C1281" s="202">
        <v>5.1327800000000003</v>
      </c>
      <c r="D1281" s="202">
        <v>1.03498</v>
      </c>
    </row>
    <row r="1282" spans="2:4" ht="13.25" customHeight="1">
      <c r="B1282" s="203">
        <v>42838</v>
      </c>
      <c r="C1282" s="202">
        <v>5.0945119999999999</v>
      </c>
      <c r="D1282" s="202">
        <v>1.13063</v>
      </c>
    </row>
    <row r="1283" spans="2:4" ht="13.25" customHeight="1">
      <c r="B1283" s="203">
        <v>42843</v>
      </c>
      <c r="C1283" s="202">
        <v>5.0371079999999999</v>
      </c>
      <c r="D1283" s="202">
        <v>2.8612839999999999</v>
      </c>
    </row>
    <row r="1284" spans="2:4" ht="13.25" customHeight="1">
      <c r="B1284" s="203">
        <v>42844</v>
      </c>
      <c r="C1284" s="202">
        <v>5.0753769999999996</v>
      </c>
      <c r="D1284" s="202">
        <v>2.023082</v>
      </c>
    </row>
    <row r="1285" spans="2:4" ht="13.25" customHeight="1">
      <c r="B1285" s="203">
        <v>42845</v>
      </c>
      <c r="C1285" s="202">
        <v>5.0227579999999996</v>
      </c>
      <c r="D1285" s="202">
        <v>1.42757</v>
      </c>
    </row>
    <row r="1286" spans="2:4" ht="13.25" customHeight="1">
      <c r="B1286" s="203">
        <v>42846</v>
      </c>
      <c r="C1286" s="202">
        <v>5.0658099999999999</v>
      </c>
      <c r="D1286" s="202">
        <v>1.8009500000000001</v>
      </c>
    </row>
    <row r="1287" spans="2:4" ht="13.25" customHeight="1">
      <c r="B1287" s="203">
        <v>42849</v>
      </c>
      <c r="C1287" s="202">
        <v>5.1901840000000004</v>
      </c>
      <c r="D1287" s="202">
        <v>2.382206</v>
      </c>
    </row>
    <row r="1288" spans="2:4" ht="13.25" customHeight="1">
      <c r="B1288" s="203">
        <v>42850</v>
      </c>
      <c r="C1288" s="202">
        <v>5.2762880000000001</v>
      </c>
      <c r="D1288" s="202">
        <v>3.8158059999999998</v>
      </c>
    </row>
    <row r="1289" spans="2:4" ht="13.25" customHeight="1">
      <c r="B1289" s="203">
        <v>42851</v>
      </c>
      <c r="C1289" s="202">
        <v>5.2475870000000002</v>
      </c>
      <c r="D1289" s="202">
        <v>1.7318100000000001</v>
      </c>
    </row>
    <row r="1290" spans="2:4" ht="13.25" customHeight="1">
      <c r="B1290" s="203">
        <v>42852</v>
      </c>
      <c r="C1290" s="202">
        <v>5.2619369999999996</v>
      </c>
      <c r="D1290" s="202">
        <v>2.1886019999999999</v>
      </c>
    </row>
    <row r="1291" spans="2:4" ht="13.25" customHeight="1">
      <c r="B1291" s="203">
        <v>42853</v>
      </c>
      <c r="C1291" s="202">
        <v>5.1949670000000001</v>
      </c>
      <c r="D1291" s="202">
        <v>2.0216539999999998</v>
      </c>
    </row>
    <row r="1292" spans="2:4" ht="13.25" customHeight="1">
      <c r="B1292" s="203">
        <v>42857</v>
      </c>
      <c r="C1292" s="202">
        <v>5.2667210000000004</v>
      </c>
      <c r="D1292" s="202">
        <v>1.334514</v>
      </c>
    </row>
    <row r="1293" spans="2:4" ht="13.25" customHeight="1">
      <c r="B1293" s="203">
        <v>42858</v>
      </c>
      <c r="C1293" s="202">
        <v>5.2236690000000001</v>
      </c>
      <c r="D1293" s="202">
        <v>1.3997599999999999</v>
      </c>
    </row>
    <row r="1294" spans="2:4" ht="13.25" customHeight="1">
      <c r="B1294" s="203">
        <v>42859</v>
      </c>
      <c r="C1294" s="202">
        <v>5.2619369999999996</v>
      </c>
      <c r="D1294" s="202">
        <v>1.568522</v>
      </c>
    </row>
    <row r="1295" spans="2:4" ht="13.25" customHeight="1">
      <c r="B1295" s="203">
        <v>42860</v>
      </c>
      <c r="C1295" s="202">
        <v>5.3576090000000001</v>
      </c>
      <c r="D1295" s="202">
        <v>1.768086</v>
      </c>
    </row>
    <row r="1296" spans="2:4" ht="13.25" customHeight="1">
      <c r="B1296" s="203">
        <v>42863</v>
      </c>
      <c r="C1296" s="202">
        <v>5.2906389999999996</v>
      </c>
      <c r="D1296" s="202">
        <v>1.46167</v>
      </c>
    </row>
    <row r="1297" spans="2:4" ht="13.25" customHeight="1">
      <c r="B1297" s="203">
        <v>42864</v>
      </c>
      <c r="C1297" s="202">
        <v>5.5250329999999996</v>
      </c>
      <c r="D1297" s="202">
        <v>7.6063510000000001</v>
      </c>
    </row>
    <row r="1298" spans="2:4" ht="13.25" customHeight="1">
      <c r="B1298" s="203">
        <v>42865</v>
      </c>
      <c r="C1298" s="202">
        <v>5.783347</v>
      </c>
      <c r="D1298" s="202">
        <v>5.5961160000000003</v>
      </c>
    </row>
    <row r="1299" spans="2:4" ht="13.25" customHeight="1">
      <c r="B1299" s="203">
        <v>42866</v>
      </c>
      <c r="C1299" s="202">
        <v>5.7115929999999997</v>
      </c>
      <c r="D1299" s="202">
        <v>2.4610889999999999</v>
      </c>
    </row>
    <row r="1300" spans="2:4" ht="13.25" customHeight="1">
      <c r="B1300" s="203">
        <v>42867</v>
      </c>
      <c r="C1300" s="202">
        <v>5.7355109999999998</v>
      </c>
      <c r="D1300" s="202">
        <v>1.6257360000000001</v>
      </c>
    </row>
    <row r="1301" spans="2:4" ht="13.25" customHeight="1">
      <c r="B1301" s="203">
        <v>42870</v>
      </c>
      <c r="C1301" s="202">
        <v>5.7737800000000004</v>
      </c>
      <c r="D1301" s="202">
        <v>1.083715</v>
      </c>
    </row>
    <row r="1302" spans="2:4" ht="13.25" customHeight="1">
      <c r="B1302" s="203">
        <v>42871</v>
      </c>
      <c r="C1302" s="202">
        <v>5.7976979999999996</v>
      </c>
      <c r="D1302" s="202">
        <v>1.154963</v>
      </c>
    </row>
    <row r="1303" spans="2:4" ht="13.25" customHeight="1">
      <c r="B1303" s="203">
        <v>42872</v>
      </c>
      <c r="C1303" s="202">
        <v>5.6876759999999997</v>
      </c>
      <c r="D1303" s="202">
        <v>1.60185</v>
      </c>
    </row>
    <row r="1304" spans="2:4" ht="13.25" customHeight="1">
      <c r="B1304" s="203">
        <v>42873</v>
      </c>
      <c r="C1304" s="202">
        <v>5.7163769999999996</v>
      </c>
      <c r="D1304" s="202">
        <v>2.6268769999999999</v>
      </c>
    </row>
    <row r="1305" spans="2:4" ht="13.25" customHeight="1">
      <c r="B1305" s="203">
        <v>42874</v>
      </c>
      <c r="C1305" s="202">
        <v>5.925217</v>
      </c>
      <c r="D1305" s="202">
        <v>1.6032470000000001</v>
      </c>
    </row>
    <row r="1306" spans="2:4" ht="13.25" customHeight="1">
      <c r="B1306" s="203">
        <v>42877</v>
      </c>
      <c r="C1306" s="202">
        <v>5.8958589999999997</v>
      </c>
      <c r="D1306" s="202">
        <v>1.0289759999999999</v>
      </c>
    </row>
    <row r="1307" spans="2:4" ht="13.25" customHeight="1">
      <c r="B1307" s="203">
        <v>42878</v>
      </c>
      <c r="C1307" s="202">
        <v>5.944788</v>
      </c>
      <c r="D1307" s="202">
        <v>1.007579</v>
      </c>
    </row>
    <row r="1308" spans="2:4" ht="13.25" customHeight="1">
      <c r="B1308" s="203">
        <v>42879</v>
      </c>
      <c r="C1308" s="202">
        <v>5.969252</v>
      </c>
      <c r="D1308" s="202">
        <v>1.456404</v>
      </c>
    </row>
    <row r="1309" spans="2:4" ht="13.25" customHeight="1">
      <c r="B1309" s="203">
        <v>42880</v>
      </c>
      <c r="C1309" s="202">
        <v>5.954574</v>
      </c>
      <c r="D1309" s="202">
        <v>1.593952</v>
      </c>
    </row>
    <row r="1310" spans="2:4" ht="13.25" customHeight="1">
      <c r="B1310" s="203">
        <v>42881</v>
      </c>
      <c r="C1310" s="202">
        <v>6.0866800000000003</v>
      </c>
      <c r="D1310" s="202">
        <v>2.1462880000000002</v>
      </c>
    </row>
    <row r="1311" spans="2:4" ht="13.25" customHeight="1">
      <c r="B1311" s="203">
        <v>42884</v>
      </c>
      <c r="C1311" s="202">
        <v>5.969252</v>
      </c>
      <c r="D1311" s="202">
        <v>1.3743350000000001</v>
      </c>
    </row>
    <row r="1312" spans="2:4" ht="13.25" customHeight="1">
      <c r="B1312" s="203">
        <v>42885</v>
      </c>
      <c r="C1312" s="202">
        <v>6.0768940000000002</v>
      </c>
      <c r="D1312" s="202">
        <v>1.6073029999999999</v>
      </c>
    </row>
    <row r="1313" spans="2:4" ht="13.25" customHeight="1">
      <c r="B1313" s="203">
        <v>42886</v>
      </c>
      <c r="C1313" s="202">
        <v>6.0915720000000002</v>
      </c>
      <c r="D1313" s="202">
        <v>2.885437</v>
      </c>
    </row>
    <row r="1314" spans="2:4" ht="13.25" customHeight="1">
      <c r="B1314" s="203">
        <v>42887</v>
      </c>
      <c r="C1314" s="202">
        <v>6.2334649999999998</v>
      </c>
      <c r="D1314" s="202">
        <v>2.1746620000000001</v>
      </c>
    </row>
    <row r="1315" spans="2:4" ht="13.25" customHeight="1">
      <c r="B1315" s="203">
        <v>42888</v>
      </c>
      <c r="C1315" s="202">
        <v>6.2334649999999998</v>
      </c>
      <c r="D1315" s="202">
        <v>1.6975979999999999</v>
      </c>
    </row>
    <row r="1316" spans="2:4" ht="13.25" customHeight="1">
      <c r="B1316" s="203">
        <v>42891</v>
      </c>
      <c r="C1316" s="202">
        <v>6.2041079999999997</v>
      </c>
      <c r="D1316" s="202">
        <v>0.900945</v>
      </c>
    </row>
    <row r="1317" spans="2:4" ht="13.25" customHeight="1">
      <c r="B1317" s="203">
        <v>42892</v>
      </c>
      <c r="C1317" s="202">
        <v>6.2138939999999998</v>
      </c>
      <c r="D1317" s="202">
        <v>1.583807</v>
      </c>
    </row>
    <row r="1318" spans="2:4" ht="13.25" customHeight="1">
      <c r="B1318" s="203">
        <v>42893</v>
      </c>
      <c r="C1318" s="202">
        <v>6.1453939999999996</v>
      </c>
      <c r="D1318" s="202">
        <v>1.26034</v>
      </c>
    </row>
    <row r="1319" spans="2:4" ht="13.25" customHeight="1">
      <c r="B1319" s="203">
        <v>42894</v>
      </c>
      <c r="C1319" s="202">
        <v>6.2041079999999997</v>
      </c>
      <c r="D1319" s="202">
        <v>1.434733</v>
      </c>
    </row>
    <row r="1320" spans="2:4" ht="13.25" customHeight="1">
      <c r="B1320" s="203">
        <v>42895</v>
      </c>
      <c r="C1320" s="202">
        <v>6.0671090000000003</v>
      </c>
      <c r="D1320" s="202">
        <v>4.1798209999999996</v>
      </c>
    </row>
    <row r="1321" spans="2:4" ht="13.25" customHeight="1">
      <c r="B1321" s="203">
        <v>42898</v>
      </c>
      <c r="C1321" s="202">
        <v>6.0083950000000002</v>
      </c>
      <c r="D1321" s="202">
        <v>1.9145810000000001</v>
      </c>
    </row>
    <row r="1322" spans="2:4" ht="13.25" customHeight="1">
      <c r="B1322" s="203">
        <v>42899</v>
      </c>
      <c r="C1322" s="202">
        <v>5.9594670000000001</v>
      </c>
      <c r="D1322" s="202">
        <v>1.7428969999999999</v>
      </c>
    </row>
    <row r="1323" spans="2:4" ht="13.25" customHeight="1">
      <c r="B1323" s="203">
        <v>42900</v>
      </c>
      <c r="C1323" s="202">
        <v>5.9350019999999999</v>
      </c>
      <c r="D1323" s="202">
        <v>2.3037809999999999</v>
      </c>
    </row>
    <row r="1324" spans="2:4" ht="13.25" customHeight="1">
      <c r="B1324" s="203">
        <v>42901</v>
      </c>
      <c r="C1324" s="202">
        <v>6.0573230000000002</v>
      </c>
      <c r="D1324" s="202">
        <v>2.2320890000000002</v>
      </c>
    </row>
    <row r="1325" spans="2:4" ht="13.25" customHeight="1">
      <c r="B1325" s="203">
        <v>42902</v>
      </c>
      <c r="C1325" s="202">
        <v>6.0181810000000002</v>
      </c>
      <c r="D1325" s="202">
        <v>3.9538820000000001</v>
      </c>
    </row>
    <row r="1326" spans="2:4" ht="13.25" customHeight="1">
      <c r="B1326" s="203">
        <v>42905</v>
      </c>
      <c r="C1326" s="202">
        <v>6.1698579999999996</v>
      </c>
      <c r="D1326" s="202">
        <v>1.7309110000000001</v>
      </c>
    </row>
    <row r="1327" spans="2:4" ht="13.25" customHeight="1">
      <c r="B1327" s="203">
        <v>42906</v>
      </c>
      <c r="C1327" s="202">
        <v>6.1405010000000004</v>
      </c>
      <c r="D1327" s="202">
        <v>1.452413</v>
      </c>
    </row>
    <row r="1328" spans="2:4" ht="13.25" customHeight="1">
      <c r="B1328" s="203">
        <v>42907</v>
      </c>
      <c r="C1328" s="202">
        <v>6.1943229999999998</v>
      </c>
      <c r="D1328" s="202">
        <v>1.4560040000000001</v>
      </c>
    </row>
    <row r="1329" spans="2:4" ht="13.25" customHeight="1">
      <c r="B1329" s="203">
        <v>42908</v>
      </c>
      <c r="C1329" s="202">
        <v>6.1111440000000004</v>
      </c>
      <c r="D1329" s="202">
        <v>1.677376</v>
      </c>
    </row>
    <row r="1330" spans="2:4" ht="13.25" customHeight="1">
      <c r="B1330" s="203">
        <v>42909</v>
      </c>
      <c r="C1330" s="202">
        <v>6.1111440000000004</v>
      </c>
      <c r="D1330" s="202">
        <v>1.5896980000000001</v>
      </c>
    </row>
    <row r="1331" spans="2:4" ht="13.25" customHeight="1">
      <c r="B1331" s="203">
        <v>42912</v>
      </c>
      <c r="C1331" s="202">
        <v>6.1258229999999996</v>
      </c>
      <c r="D1331" s="202">
        <v>1.1073820000000001</v>
      </c>
    </row>
    <row r="1332" spans="2:4" ht="13.25" customHeight="1">
      <c r="B1332" s="203">
        <v>42913</v>
      </c>
      <c r="C1332" s="202">
        <v>6.0866800000000003</v>
      </c>
      <c r="D1332" s="202">
        <v>1.0278750000000001</v>
      </c>
    </row>
    <row r="1333" spans="2:4" ht="13.25" customHeight="1">
      <c r="B1333" s="203">
        <v>42914</v>
      </c>
      <c r="C1333" s="202">
        <v>6.1209300000000004</v>
      </c>
      <c r="D1333" s="202">
        <v>1.7183010000000001</v>
      </c>
    </row>
    <row r="1334" spans="2:4" ht="13.25" customHeight="1">
      <c r="B1334" s="203">
        <v>42915</v>
      </c>
      <c r="C1334" s="202">
        <v>6.0083950000000002</v>
      </c>
      <c r="D1334" s="202">
        <v>2.0341969999999998</v>
      </c>
    </row>
    <row r="1335" spans="2:4" ht="13.25" customHeight="1">
      <c r="B1335" s="203">
        <v>42916</v>
      </c>
      <c r="C1335" s="202">
        <v>6.0377520000000002</v>
      </c>
      <c r="D1335" s="202">
        <v>1.54026</v>
      </c>
    </row>
    <row r="1336" spans="2:4" ht="13.25" customHeight="1">
      <c r="B1336" s="203">
        <v>42919</v>
      </c>
      <c r="C1336" s="202">
        <v>6.0964660000000004</v>
      </c>
      <c r="D1336" s="202">
        <v>1.129988</v>
      </c>
    </row>
    <row r="1337" spans="2:4" ht="13.25" customHeight="1">
      <c r="B1337" s="203">
        <v>42920</v>
      </c>
      <c r="C1337" s="202">
        <v>6.0083950000000002</v>
      </c>
      <c r="D1337" s="202">
        <v>0.87016700000000002</v>
      </c>
    </row>
    <row r="1338" spans="2:4" ht="13.25" customHeight="1">
      <c r="B1338" s="203">
        <v>42921</v>
      </c>
      <c r="C1338" s="202">
        <v>6.0377520000000002</v>
      </c>
      <c r="D1338" s="202">
        <v>1.2155830000000001</v>
      </c>
    </row>
    <row r="1339" spans="2:4" ht="13.25" customHeight="1">
      <c r="B1339" s="203">
        <v>42922</v>
      </c>
      <c r="C1339" s="202">
        <v>5.988823</v>
      </c>
      <c r="D1339" s="202">
        <v>1.853591</v>
      </c>
    </row>
    <row r="1340" spans="2:4" ht="13.25" customHeight="1">
      <c r="B1340" s="203">
        <v>42923</v>
      </c>
      <c r="C1340" s="202">
        <v>6.0132880000000002</v>
      </c>
      <c r="D1340" s="202">
        <v>1.670963</v>
      </c>
    </row>
    <row r="1341" spans="2:4" ht="13.25" customHeight="1">
      <c r="B1341" s="203">
        <v>42926</v>
      </c>
      <c r="C1341" s="202">
        <v>6.0524300000000002</v>
      </c>
      <c r="D1341" s="202">
        <v>1.3633</v>
      </c>
    </row>
    <row r="1342" spans="2:4" ht="13.25" customHeight="1">
      <c r="B1342" s="203">
        <v>42927</v>
      </c>
      <c r="C1342" s="202">
        <v>5.9790380000000001</v>
      </c>
      <c r="D1342" s="202">
        <v>1.330538</v>
      </c>
    </row>
    <row r="1343" spans="2:4" ht="13.25" customHeight="1">
      <c r="B1343" s="203">
        <v>42928</v>
      </c>
      <c r="C1343" s="202">
        <v>6.0328590000000002</v>
      </c>
      <c r="D1343" s="202">
        <v>1.2856479999999999</v>
      </c>
    </row>
    <row r="1344" spans="2:4" ht="13.25" customHeight="1">
      <c r="B1344" s="203">
        <v>42929</v>
      </c>
      <c r="C1344" s="202">
        <v>6.0279660000000002</v>
      </c>
      <c r="D1344" s="202">
        <v>2.1624289999999999</v>
      </c>
    </row>
    <row r="1345" spans="2:4" ht="13.25" customHeight="1">
      <c r="B1345" s="203">
        <v>42930</v>
      </c>
      <c r="C1345" s="202">
        <v>6.0671090000000003</v>
      </c>
      <c r="D1345" s="202">
        <v>0.963059</v>
      </c>
    </row>
    <row r="1346" spans="2:4" ht="13.25" customHeight="1">
      <c r="B1346" s="203">
        <v>42933</v>
      </c>
      <c r="C1346" s="202">
        <v>6.0964660000000004</v>
      </c>
      <c r="D1346" s="202">
        <v>1.3657300000000001</v>
      </c>
    </row>
    <row r="1347" spans="2:4" ht="13.25" customHeight="1">
      <c r="B1347" s="203">
        <v>42934</v>
      </c>
      <c r="C1347" s="202">
        <v>6.0671090000000003</v>
      </c>
      <c r="D1347" s="202">
        <v>0.97935399999999995</v>
      </c>
    </row>
    <row r="1348" spans="2:4" ht="13.25" customHeight="1">
      <c r="B1348" s="203">
        <v>42935</v>
      </c>
      <c r="C1348" s="202">
        <v>6.0622160000000003</v>
      </c>
      <c r="D1348" s="202">
        <v>0.59808700000000004</v>
      </c>
    </row>
    <row r="1349" spans="2:4" ht="13.25" customHeight="1">
      <c r="B1349" s="203">
        <v>42936</v>
      </c>
      <c r="C1349" s="202">
        <v>6.0768940000000002</v>
      </c>
      <c r="D1349" s="202">
        <v>0.91491100000000003</v>
      </c>
    </row>
    <row r="1350" spans="2:4" ht="13.25" customHeight="1">
      <c r="B1350" s="203">
        <v>42937</v>
      </c>
      <c r="C1350" s="202">
        <v>5.9986100000000002</v>
      </c>
      <c r="D1350" s="202">
        <v>0.95133699999999999</v>
      </c>
    </row>
    <row r="1351" spans="2:4" ht="13.25" customHeight="1">
      <c r="B1351" s="203">
        <v>42940</v>
      </c>
      <c r="C1351" s="202">
        <v>5.969252</v>
      </c>
      <c r="D1351" s="202">
        <v>1.0422229999999999</v>
      </c>
    </row>
    <row r="1352" spans="2:4" ht="13.25" customHeight="1">
      <c r="B1352" s="203">
        <v>42941</v>
      </c>
      <c r="C1352" s="202">
        <v>6.0426450000000003</v>
      </c>
      <c r="D1352" s="202">
        <v>0.83124699999999996</v>
      </c>
    </row>
    <row r="1353" spans="2:4" ht="13.25" customHeight="1">
      <c r="B1353" s="203">
        <v>42942</v>
      </c>
      <c r="C1353" s="202">
        <v>6.1405010000000004</v>
      </c>
      <c r="D1353" s="202">
        <v>2.4962390000000001</v>
      </c>
    </row>
    <row r="1354" spans="2:4" ht="13.25" customHeight="1">
      <c r="B1354" s="203">
        <v>42943</v>
      </c>
      <c r="C1354" s="202">
        <v>6.1649649999999996</v>
      </c>
      <c r="D1354" s="202">
        <v>1.346751</v>
      </c>
    </row>
    <row r="1355" spans="2:4" ht="13.25" customHeight="1">
      <c r="B1355" s="203">
        <v>42944</v>
      </c>
      <c r="C1355" s="202">
        <v>6.0671090000000003</v>
      </c>
      <c r="D1355" s="202">
        <v>1.3216619999999999</v>
      </c>
    </row>
    <row r="1356" spans="2:4" ht="13.25" customHeight="1">
      <c r="B1356" s="203">
        <v>42947</v>
      </c>
      <c r="C1356" s="202">
        <v>6.1209300000000004</v>
      </c>
      <c r="D1356" s="202">
        <v>1.4091</v>
      </c>
    </row>
    <row r="1357" spans="2:4" ht="13.25" customHeight="1">
      <c r="B1357" s="203">
        <v>42948</v>
      </c>
      <c r="C1357" s="202">
        <v>6.1356080000000004</v>
      </c>
      <c r="D1357" s="202">
        <v>1.185872</v>
      </c>
    </row>
    <row r="1358" spans="2:4" ht="13.25" customHeight="1">
      <c r="B1358" s="203">
        <v>42949</v>
      </c>
      <c r="C1358" s="202">
        <v>6.1551799999999997</v>
      </c>
      <c r="D1358" s="202">
        <v>1.3404210000000001</v>
      </c>
    </row>
    <row r="1359" spans="2:4" ht="13.25" customHeight="1">
      <c r="B1359" s="203">
        <v>42950</v>
      </c>
      <c r="C1359" s="202">
        <v>6.0426450000000003</v>
      </c>
      <c r="D1359" s="202">
        <v>9.9233080000000005</v>
      </c>
    </row>
    <row r="1360" spans="2:4" ht="13.25" customHeight="1">
      <c r="B1360" s="203">
        <v>42951</v>
      </c>
      <c r="C1360" s="202">
        <v>5.98393</v>
      </c>
      <c r="D1360" s="202">
        <v>5.6622149999999998</v>
      </c>
    </row>
    <row r="1361" spans="2:4" ht="13.25" customHeight="1">
      <c r="B1361" s="203">
        <v>42954</v>
      </c>
      <c r="C1361" s="202">
        <v>5.949681</v>
      </c>
      <c r="D1361" s="202">
        <v>4.141839</v>
      </c>
    </row>
    <row r="1362" spans="2:4" ht="13.25" customHeight="1">
      <c r="B1362" s="203">
        <v>42955</v>
      </c>
      <c r="C1362" s="202">
        <v>5.9203239999999999</v>
      </c>
      <c r="D1362" s="202">
        <v>1.7644979999999999</v>
      </c>
    </row>
    <row r="1363" spans="2:4" ht="13.25" customHeight="1">
      <c r="B1363" s="203">
        <v>42956</v>
      </c>
      <c r="C1363" s="202">
        <v>5.8518239999999997</v>
      </c>
      <c r="D1363" s="202">
        <v>1.9651940000000001</v>
      </c>
    </row>
    <row r="1364" spans="2:4" ht="13.25" customHeight="1">
      <c r="B1364" s="203">
        <v>42957</v>
      </c>
      <c r="C1364" s="202">
        <v>5.969252</v>
      </c>
      <c r="D1364" s="202">
        <v>3.2014550000000002</v>
      </c>
    </row>
    <row r="1365" spans="2:4" ht="13.25" customHeight="1">
      <c r="B1365" s="203">
        <v>42958</v>
      </c>
      <c r="C1365" s="202">
        <v>5.8616089999999996</v>
      </c>
      <c r="D1365" s="202">
        <v>2.016845</v>
      </c>
    </row>
    <row r="1366" spans="2:4" ht="13.25" customHeight="1">
      <c r="B1366" s="203">
        <v>42961</v>
      </c>
      <c r="C1366" s="202">
        <v>5.9203239999999999</v>
      </c>
      <c r="D1366" s="202">
        <v>1.367615</v>
      </c>
    </row>
    <row r="1367" spans="2:4" ht="13.25" customHeight="1">
      <c r="B1367" s="203">
        <v>42963</v>
      </c>
      <c r="C1367" s="202">
        <v>5.9986100000000002</v>
      </c>
      <c r="D1367" s="202">
        <v>1.8753310000000001</v>
      </c>
    </row>
    <row r="1368" spans="2:4" ht="13.25" customHeight="1">
      <c r="B1368" s="203">
        <v>42964</v>
      </c>
      <c r="C1368" s="202">
        <v>6.0181810000000002</v>
      </c>
      <c r="D1368" s="202">
        <v>1.1971000000000001</v>
      </c>
    </row>
    <row r="1369" spans="2:4" ht="13.25" customHeight="1">
      <c r="B1369" s="203">
        <v>42965</v>
      </c>
      <c r="C1369" s="202">
        <v>5.9594670000000001</v>
      </c>
      <c r="D1369" s="202">
        <v>1.8261849999999999</v>
      </c>
    </row>
    <row r="1370" spans="2:4" ht="13.25" customHeight="1">
      <c r="B1370" s="203">
        <v>42968</v>
      </c>
      <c r="C1370" s="202">
        <v>5.9350019999999999</v>
      </c>
      <c r="D1370" s="202">
        <v>1.082109</v>
      </c>
    </row>
    <row r="1371" spans="2:4" ht="13.25" customHeight="1">
      <c r="B1371" s="203">
        <v>42969</v>
      </c>
      <c r="C1371" s="202">
        <v>6.0035020000000001</v>
      </c>
      <c r="D1371" s="202">
        <v>1.173108</v>
      </c>
    </row>
    <row r="1372" spans="2:4" ht="13.25" customHeight="1">
      <c r="B1372" s="203">
        <v>42970</v>
      </c>
      <c r="C1372" s="202">
        <v>5.964359</v>
      </c>
      <c r="D1372" s="202">
        <v>1.253171</v>
      </c>
    </row>
    <row r="1373" spans="2:4" ht="13.25" customHeight="1">
      <c r="B1373" s="203">
        <v>42971</v>
      </c>
      <c r="C1373" s="202">
        <v>5.98393</v>
      </c>
      <c r="D1373" s="202">
        <v>1.141437</v>
      </c>
    </row>
    <row r="1374" spans="2:4" ht="13.25" customHeight="1">
      <c r="B1374" s="203">
        <v>42972</v>
      </c>
      <c r="C1374" s="202">
        <v>5.954574</v>
      </c>
      <c r="D1374" s="202">
        <v>0.69228299999999998</v>
      </c>
    </row>
    <row r="1375" spans="2:4" ht="13.25" customHeight="1">
      <c r="B1375" s="203">
        <v>42975</v>
      </c>
      <c r="C1375" s="202">
        <v>5.9007529999999999</v>
      </c>
      <c r="D1375" s="202">
        <v>0.87457499999999999</v>
      </c>
    </row>
    <row r="1376" spans="2:4" ht="13.25" customHeight="1">
      <c r="B1376" s="203">
        <v>42976</v>
      </c>
      <c r="C1376" s="202">
        <v>5.8665019999999997</v>
      </c>
      <c r="D1376" s="202">
        <v>2.1073200000000001</v>
      </c>
    </row>
    <row r="1377" spans="2:4" ht="13.25" customHeight="1">
      <c r="B1377" s="203">
        <v>42977</v>
      </c>
      <c r="C1377" s="202">
        <v>5.9986100000000002</v>
      </c>
      <c r="D1377" s="202">
        <v>2.0129000000000001</v>
      </c>
    </row>
    <row r="1378" spans="2:4" ht="13.25" customHeight="1">
      <c r="B1378" s="203">
        <v>42978</v>
      </c>
      <c r="C1378" s="202">
        <v>5.949681</v>
      </c>
      <c r="D1378" s="202">
        <v>1.4238519999999999</v>
      </c>
    </row>
    <row r="1379" spans="2:4" ht="13.25" customHeight="1">
      <c r="B1379" s="203">
        <v>42979</v>
      </c>
      <c r="C1379" s="202">
        <v>5.9398960000000001</v>
      </c>
      <c r="D1379" s="202">
        <v>1.8526899999999999</v>
      </c>
    </row>
    <row r="1380" spans="2:4" ht="13.25" customHeight="1">
      <c r="B1380" s="203">
        <v>42982</v>
      </c>
      <c r="C1380" s="202">
        <v>5.9350019999999999</v>
      </c>
      <c r="D1380" s="202">
        <v>1.2793380000000001</v>
      </c>
    </row>
    <row r="1381" spans="2:4" ht="13.25" customHeight="1">
      <c r="B1381" s="203">
        <v>42983</v>
      </c>
      <c r="C1381" s="202">
        <v>5.993716</v>
      </c>
      <c r="D1381" s="202">
        <v>1.648698</v>
      </c>
    </row>
    <row r="1382" spans="2:4" ht="13.25" customHeight="1">
      <c r="B1382" s="203">
        <v>42984</v>
      </c>
      <c r="C1382" s="202">
        <v>5.969252</v>
      </c>
      <c r="D1382" s="202">
        <v>1.5717289999999999</v>
      </c>
    </row>
    <row r="1383" spans="2:4" ht="13.25" customHeight="1">
      <c r="B1383" s="203">
        <v>42985</v>
      </c>
      <c r="C1383" s="202">
        <v>5.9790380000000001</v>
      </c>
      <c r="D1383" s="202">
        <v>1.440035</v>
      </c>
    </row>
    <row r="1384" spans="2:4" ht="13.25" customHeight="1">
      <c r="B1384" s="203">
        <v>42986</v>
      </c>
      <c r="C1384" s="202">
        <v>6.0377520000000002</v>
      </c>
      <c r="D1384" s="202">
        <v>2.0725349999999998</v>
      </c>
    </row>
    <row r="1385" spans="2:4" ht="13.25" customHeight="1">
      <c r="B1385" s="203">
        <v>42989</v>
      </c>
      <c r="C1385" s="202">
        <v>6.0866800000000003</v>
      </c>
      <c r="D1385" s="202">
        <v>1.479457</v>
      </c>
    </row>
    <row r="1386" spans="2:4" ht="13.25" customHeight="1">
      <c r="B1386" s="203">
        <v>42990</v>
      </c>
      <c r="C1386" s="202">
        <v>6.0181810000000002</v>
      </c>
      <c r="D1386" s="202">
        <v>1.786276</v>
      </c>
    </row>
    <row r="1387" spans="2:4" ht="13.25" customHeight="1">
      <c r="B1387" s="203">
        <v>42991</v>
      </c>
      <c r="C1387" s="202">
        <v>6.0279660000000002</v>
      </c>
      <c r="D1387" s="202">
        <v>2.039927</v>
      </c>
    </row>
    <row r="1388" spans="2:4" ht="13.25" customHeight="1">
      <c r="B1388" s="203">
        <v>42992</v>
      </c>
      <c r="C1388" s="202">
        <v>5.969252</v>
      </c>
      <c r="D1388" s="202">
        <v>1.397354</v>
      </c>
    </row>
    <row r="1389" spans="2:4" ht="13.25" customHeight="1">
      <c r="B1389" s="203">
        <v>42993</v>
      </c>
      <c r="C1389" s="202">
        <v>5.949681</v>
      </c>
      <c r="D1389" s="202">
        <v>2.67225</v>
      </c>
    </row>
    <row r="1390" spans="2:4" ht="13.25" customHeight="1">
      <c r="B1390" s="203">
        <v>42996</v>
      </c>
      <c r="C1390" s="202">
        <v>5.969252</v>
      </c>
      <c r="D1390" s="202">
        <v>1.6702399999999999</v>
      </c>
    </row>
    <row r="1391" spans="2:4" ht="13.25" customHeight="1">
      <c r="B1391" s="203">
        <v>42997</v>
      </c>
      <c r="C1391" s="202">
        <v>5.993716</v>
      </c>
      <c r="D1391" s="202">
        <v>1.8709739999999999</v>
      </c>
    </row>
    <row r="1392" spans="2:4" ht="13.25" customHeight="1">
      <c r="B1392" s="203">
        <v>42998</v>
      </c>
      <c r="C1392" s="202">
        <v>5.974145</v>
      </c>
      <c r="D1392" s="202">
        <v>1.4317550000000001</v>
      </c>
    </row>
    <row r="1393" spans="2:4" ht="13.25" customHeight="1">
      <c r="B1393" s="203">
        <v>42999</v>
      </c>
      <c r="C1393" s="202">
        <v>5.974145</v>
      </c>
      <c r="D1393" s="202">
        <v>2.1668270000000001</v>
      </c>
    </row>
    <row r="1394" spans="2:4" ht="13.25" customHeight="1">
      <c r="B1394" s="203">
        <v>43000</v>
      </c>
      <c r="C1394" s="202">
        <v>5.98393</v>
      </c>
      <c r="D1394" s="202">
        <v>0.993066</v>
      </c>
    </row>
    <row r="1395" spans="2:4" ht="13.25" customHeight="1">
      <c r="B1395" s="203">
        <v>43003</v>
      </c>
      <c r="C1395" s="202">
        <v>6.0083950000000002</v>
      </c>
      <c r="D1395" s="202">
        <v>1.952693</v>
      </c>
    </row>
    <row r="1396" spans="2:4" ht="13.25" customHeight="1">
      <c r="B1396" s="203">
        <v>43004</v>
      </c>
      <c r="C1396" s="202">
        <v>6.0915720000000002</v>
      </c>
      <c r="D1396" s="202">
        <v>2.3923199999999998</v>
      </c>
    </row>
    <row r="1397" spans="2:4" ht="13.25" customHeight="1">
      <c r="B1397" s="203">
        <v>43005</v>
      </c>
      <c r="C1397" s="202">
        <v>6.1013580000000003</v>
      </c>
      <c r="D1397" s="202">
        <v>1.856452</v>
      </c>
    </row>
    <row r="1398" spans="2:4" ht="13.25" customHeight="1">
      <c r="B1398" s="203">
        <v>43006</v>
      </c>
      <c r="C1398" s="202">
        <v>6.0964660000000004</v>
      </c>
      <c r="D1398" s="202">
        <v>2.432096</v>
      </c>
    </row>
    <row r="1399" spans="2:4" ht="13.25" customHeight="1">
      <c r="B1399" s="203">
        <v>43007</v>
      </c>
      <c r="C1399" s="202">
        <v>6.0083950000000002</v>
      </c>
      <c r="D1399" s="202">
        <v>3.1365590000000001</v>
      </c>
    </row>
    <row r="1400" spans="2:4" ht="13.25" customHeight="1">
      <c r="B1400" s="203">
        <v>43010</v>
      </c>
      <c r="C1400" s="202">
        <v>6.0377520000000002</v>
      </c>
      <c r="D1400" s="202">
        <v>2.652542</v>
      </c>
    </row>
    <row r="1401" spans="2:4" ht="13.25" customHeight="1">
      <c r="B1401" s="203">
        <v>43011</v>
      </c>
      <c r="C1401" s="202">
        <v>6.0768940000000002</v>
      </c>
      <c r="D1401" s="202">
        <v>2.5031180000000002</v>
      </c>
    </row>
    <row r="1402" spans="2:4" ht="13.25" customHeight="1">
      <c r="B1402" s="203">
        <v>43012</v>
      </c>
      <c r="C1402" s="202">
        <v>6.0866800000000003</v>
      </c>
      <c r="D1402" s="202">
        <v>2.6077620000000001</v>
      </c>
    </row>
    <row r="1403" spans="2:4" ht="13.25" customHeight="1">
      <c r="B1403" s="203">
        <v>43013</v>
      </c>
      <c r="C1403" s="202">
        <v>6.0573230000000002</v>
      </c>
      <c r="D1403" s="202">
        <v>2.9571580000000002</v>
      </c>
    </row>
    <row r="1404" spans="2:4" ht="13.25" customHeight="1">
      <c r="B1404" s="203">
        <v>43014</v>
      </c>
      <c r="C1404" s="202">
        <v>6.0524300000000002</v>
      </c>
      <c r="D1404" s="202">
        <v>1.8719399999999999</v>
      </c>
    </row>
    <row r="1405" spans="2:4" ht="13.25" customHeight="1">
      <c r="B1405" s="203">
        <v>43017</v>
      </c>
      <c r="C1405" s="202">
        <v>6.0915720000000002</v>
      </c>
      <c r="D1405" s="202">
        <v>1.340905</v>
      </c>
    </row>
    <row r="1406" spans="2:4" ht="13.25" customHeight="1">
      <c r="B1406" s="203">
        <v>43018</v>
      </c>
      <c r="C1406" s="202">
        <v>6.1013580000000003</v>
      </c>
      <c r="D1406" s="202">
        <v>1.7519439999999999</v>
      </c>
    </row>
    <row r="1407" spans="2:4" ht="13.25" customHeight="1">
      <c r="B1407" s="203">
        <v>43019</v>
      </c>
      <c r="C1407" s="202">
        <v>6.1845359999999996</v>
      </c>
      <c r="D1407" s="202">
        <v>2.0761419999999999</v>
      </c>
    </row>
    <row r="1408" spans="2:4" ht="13.25" customHeight="1">
      <c r="B1408" s="203">
        <v>43020</v>
      </c>
      <c r="C1408" s="202">
        <v>6.3704640000000001</v>
      </c>
      <c r="D1408" s="202">
        <v>4.9195190000000002</v>
      </c>
    </row>
    <row r="1409" spans="2:4" ht="13.25" customHeight="1">
      <c r="B1409" s="203">
        <v>43021</v>
      </c>
      <c r="C1409" s="202">
        <v>6.3655710000000001</v>
      </c>
      <c r="D1409" s="202">
        <v>2.104981</v>
      </c>
    </row>
    <row r="1410" spans="2:4" ht="13.25" customHeight="1">
      <c r="B1410" s="203">
        <v>43024</v>
      </c>
      <c r="C1410" s="202">
        <v>6.5074630000000004</v>
      </c>
      <c r="D1410" s="202">
        <v>3.0401850000000001</v>
      </c>
    </row>
    <row r="1411" spans="2:4" ht="13.25" customHeight="1">
      <c r="B1411" s="203">
        <v>43025</v>
      </c>
      <c r="C1411" s="202">
        <v>6.355785</v>
      </c>
      <c r="D1411" s="202">
        <v>2.9678209999999998</v>
      </c>
    </row>
    <row r="1412" spans="2:4" ht="13.25" customHeight="1">
      <c r="B1412" s="203">
        <v>43026</v>
      </c>
      <c r="C1412" s="202">
        <v>6.341107</v>
      </c>
      <c r="D1412" s="202">
        <v>2.3642590000000001</v>
      </c>
    </row>
    <row r="1413" spans="2:4" ht="13.25" customHeight="1">
      <c r="B1413" s="203">
        <v>43027</v>
      </c>
      <c r="C1413" s="202">
        <v>6.2432509999999999</v>
      </c>
      <c r="D1413" s="202">
        <v>3.300802</v>
      </c>
    </row>
    <row r="1414" spans="2:4" ht="13.25" customHeight="1">
      <c r="B1414" s="203">
        <v>43028</v>
      </c>
      <c r="C1414" s="202">
        <v>6.321536</v>
      </c>
      <c r="D1414" s="202">
        <v>2.7792150000000002</v>
      </c>
    </row>
    <row r="1415" spans="2:4" ht="13.25" customHeight="1">
      <c r="B1415" s="203">
        <v>43031</v>
      </c>
      <c r="C1415" s="202">
        <v>6.3851420000000001</v>
      </c>
      <c r="D1415" s="202">
        <v>1.979813</v>
      </c>
    </row>
    <row r="1416" spans="2:4" ht="13.25" customHeight="1">
      <c r="B1416" s="203">
        <v>43032</v>
      </c>
      <c r="C1416" s="202">
        <v>6.3655710000000001</v>
      </c>
      <c r="D1416" s="202">
        <v>2.41073</v>
      </c>
    </row>
    <row r="1417" spans="2:4" ht="13.25" customHeight="1">
      <c r="B1417" s="203">
        <v>43033</v>
      </c>
      <c r="C1417" s="202">
        <v>6.331321</v>
      </c>
      <c r="D1417" s="202">
        <v>2.6265839999999998</v>
      </c>
    </row>
    <row r="1418" spans="2:4" ht="13.25" customHeight="1">
      <c r="B1418" s="203">
        <v>43034</v>
      </c>
      <c r="C1418" s="202">
        <v>6.5417129999999997</v>
      </c>
      <c r="D1418" s="202">
        <v>3.4304999999999999</v>
      </c>
    </row>
    <row r="1419" spans="2:4" ht="13.25" customHeight="1">
      <c r="B1419" s="203">
        <v>43035</v>
      </c>
      <c r="C1419" s="202">
        <v>6.5661769999999997</v>
      </c>
      <c r="D1419" s="202">
        <v>3.033474</v>
      </c>
    </row>
    <row r="1420" spans="2:4" ht="13.25" customHeight="1">
      <c r="B1420" s="203">
        <v>43038</v>
      </c>
      <c r="C1420" s="202">
        <v>6.6346759999999998</v>
      </c>
      <c r="D1420" s="202">
        <v>2.4859010000000001</v>
      </c>
    </row>
    <row r="1421" spans="2:4" ht="13.25" customHeight="1">
      <c r="B1421" s="203">
        <v>43039</v>
      </c>
      <c r="C1421" s="202">
        <v>6.7325330000000001</v>
      </c>
      <c r="D1421" s="202">
        <v>2.0975730000000001</v>
      </c>
    </row>
    <row r="1422" spans="2:4" ht="13.25" customHeight="1">
      <c r="B1422" s="203">
        <v>43040</v>
      </c>
      <c r="C1422" s="202">
        <v>6.6493549999999999</v>
      </c>
      <c r="D1422" s="202">
        <v>2.6210680000000002</v>
      </c>
    </row>
    <row r="1423" spans="2:4" ht="13.25" customHeight="1">
      <c r="B1423" s="203">
        <v>43041</v>
      </c>
      <c r="C1423" s="202">
        <v>6.5319279999999997</v>
      </c>
      <c r="D1423" s="202">
        <v>3.2785989999999998</v>
      </c>
    </row>
    <row r="1424" spans="2:4" ht="13.25" customHeight="1">
      <c r="B1424" s="203">
        <v>43042</v>
      </c>
      <c r="C1424" s="202">
        <v>6.7080690000000001</v>
      </c>
      <c r="D1424" s="202">
        <v>2.4694319999999998</v>
      </c>
    </row>
    <row r="1425" spans="2:4" ht="13.25" customHeight="1">
      <c r="B1425" s="203">
        <v>43045</v>
      </c>
      <c r="C1425" s="202">
        <v>6.5368199999999996</v>
      </c>
      <c r="D1425" s="202">
        <v>3.7626550000000001</v>
      </c>
    </row>
    <row r="1426" spans="2:4" ht="13.25" customHeight="1">
      <c r="B1426" s="203">
        <v>43046</v>
      </c>
      <c r="C1426" s="202">
        <v>6.5612839999999997</v>
      </c>
      <c r="D1426" s="202">
        <v>8.2008890000000001</v>
      </c>
    </row>
    <row r="1427" spans="2:4" ht="13.25" customHeight="1">
      <c r="B1427" s="203">
        <v>43047</v>
      </c>
      <c r="C1427" s="202">
        <v>6.6004269999999998</v>
      </c>
      <c r="D1427" s="202">
        <v>3.0920269999999999</v>
      </c>
    </row>
    <row r="1428" spans="2:4" ht="13.25" customHeight="1">
      <c r="B1428" s="203">
        <v>43048</v>
      </c>
      <c r="C1428" s="202">
        <v>6.3949280000000002</v>
      </c>
      <c r="D1428" s="202">
        <v>5.4921430000000004</v>
      </c>
    </row>
    <row r="1429" spans="2:4" ht="13.25" customHeight="1">
      <c r="B1429" s="203">
        <v>43049</v>
      </c>
      <c r="C1429" s="202">
        <v>6.331321</v>
      </c>
      <c r="D1429" s="202">
        <v>2.8915790000000001</v>
      </c>
    </row>
    <row r="1430" spans="2:4" ht="13.25" customHeight="1">
      <c r="B1430" s="203">
        <v>43052</v>
      </c>
      <c r="C1430" s="202">
        <v>6.3068580000000001</v>
      </c>
      <c r="D1430" s="202">
        <v>3.1793040000000001</v>
      </c>
    </row>
    <row r="1431" spans="2:4" ht="13.25" customHeight="1">
      <c r="B1431" s="203">
        <v>43053</v>
      </c>
      <c r="C1431" s="202">
        <v>6.4536420000000003</v>
      </c>
      <c r="D1431" s="202">
        <v>5.5183949999999999</v>
      </c>
    </row>
    <row r="1432" spans="2:4" ht="13.25" customHeight="1">
      <c r="B1432" s="203">
        <v>43054</v>
      </c>
      <c r="C1432" s="202">
        <v>6.2530359999999998</v>
      </c>
      <c r="D1432" s="202">
        <v>4.124784</v>
      </c>
    </row>
    <row r="1433" spans="2:4" ht="13.25" customHeight="1">
      <c r="B1433" s="203">
        <v>43055</v>
      </c>
      <c r="C1433" s="202">
        <v>6.301965</v>
      </c>
      <c r="D1433" s="202">
        <v>2.155929</v>
      </c>
    </row>
    <row r="1434" spans="2:4" ht="13.25" customHeight="1">
      <c r="B1434" s="203">
        <v>43056</v>
      </c>
      <c r="C1434" s="202">
        <v>6.316643</v>
      </c>
      <c r="D1434" s="202">
        <v>3.5113400000000001</v>
      </c>
    </row>
    <row r="1435" spans="2:4" ht="13.25" customHeight="1">
      <c r="B1435" s="203">
        <v>43059</v>
      </c>
      <c r="C1435" s="202">
        <v>6.3655710000000001</v>
      </c>
      <c r="D1435" s="202">
        <v>2.2687439999999999</v>
      </c>
    </row>
    <row r="1436" spans="2:4" ht="13.25" customHeight="1">
      <c r="B1436" s="203">
        <v>43060</v>
      </c>
      <c r="C1436" s="202">
        <v>6.3264279999999999</v>
      </c>
      <c r="D1436" s="202">
        <v>2.7549809999999999</v>
      </c>
    </row>
    <row r="1437" spans="2:4" ht="13.25" customHeight="1">
      <c r="B1437" s="203">
        <v>43061</v>
      </c>
      <c r="C1437" s="202">
        <v>6.2187859999999997</v>
      </c>
      <c r="D1437" s="202">
        <v>2.0358719999999999</v>
      </c>
    </row>
    <row r="1438" spans="2:4" ht="13.25" customHeight="1">
      <c r="B1438" s="203">
        <v>43062</v>
      </c>
      <c r="C1438" s="202">
        <v>6.2481439999999999</v>
      </c>
      <c r="D1438" s="202">
        <v>1.479622</v>
      </c>
    </row>
    <row r="1439" spans="2:4" ht="13.25" customHeight="1">
      <c r="B1439" s="203">
        <v>43063</v>
      </c>
      <c r="C1439" s="202">
        <v>6.3264279999999999</v>
      </c>
      <c r="D1439" s="202">
        <v>1.939838</v>
      </c>
    </row>
    <row r="1440" spans="2:4" ht="13.25" customHeight="1">
      <c r="B1440" s="203">
        <v>43066</v>
      </c>
      <c r="C1440" s="202">
        <v>6.31175</v>
      </c>
      <c r="D1440" s="202">
        <v>3.6345329999999998</v>
      </c>
    </row>
    <row r="1441" spans="2:4" ht="13.25" customHeight="1">
      <c r="B1441" s="203">
        <v>43067</v>
      </c>
      <c r="C1441" s="202">
        <v>6.3704640000000001</v>
      </c>
      <c r="D1441" s="202">
        <v>2.676024</v>
      </c>
    </row>
    <row r="1442" spans="2:4" ht="13.25" customHeight="1">
      <c r="B1442" s="203">
        <v>43068</v>
      </c>
      <c r="C1442" s="202">
        <v>6.2774999999999999</v>
      </c>
      <c r="D1442" s="202">
        <v>3.2143160000000002</v>
      </c>
    </row>
    <row r="1443" spans="2:4" ht="13.25" customHeight="1">
      <c r="B1443" s="203">
        <v>43069</v>
      </c>
      <c r="C1443" s="202">
        <v>6.3998210000000002</v>
      </c>
      <c r="D1443" s="202">
        <v>47.40381</v>
      </c>
    </row>
    <row r="1444" spans="2:4" ht="13.25" customHeight="1">
      <c r="B1444" s="203">
        <v>43070</v>
      </c>
      <c r="C1444" s="202">
        <v>6.2970709999999999</v>
      </c>
      <c r="D1444" s="202">
        <v>4.8728429999999996</v>
      </c>
    </row>
    <row r="1445" spans="2:4" ht="13.25" customHeight="1">
      <c r="B1445" s="203">
        <v>43073</v>
      </c>
      <c r="C1445" s="202">
        <v>6.31175</v>
      </c>
      <c r="D1445" s="202">
        <v>2.6836449999999998</v>
      </c>
    </row>
    <row r="1446" spans="2:4" ht="13.25" customHeight="1">
      <c r="B1446" s="203">
        <v>43074</v>
      </c>
      <c r="C1446" s="202">
        <v>6.3753570000000002</v>
      </c>
      <c r="D1446" s="202">
        <v>2.371966</v>
      </c>
    </row>
    <row r="1447" spans="2:4" ht="13.25" customHeight="1">
      <c r="B1447" s="203">
        <v>43075</v>
      </c>
      <c r="C1447" s="202">
        <v>6.4340710000000003</v>
      </c>
      <c r="D1447" s="202">
        <v>2.0460210000000001</v>
      </c>
    </row>
    <row r="1448" spans="2:4" ht="13.25" customHeight="1">
      <c r="B1448" s="203">
        <v>43076</v>
      </c>
      <c r="C1448" s="202">
        <v>6.4634280000000004</v>
      </c>
      <c r="D1448" s="202">
        <v>1.9671620000000001</v>
      </c>
    </row>
    <row r="1449" spans="2:4" ht="13.25" customHeight="1">
      <c r="B1449" s="203">
        <v>43077</v>
      </c>
      <c r="C1449" s="202">
        <v>6.4683210000000004</v>
      </c>
      <c r="D1449" s="202">
        <v>2.0481479999999999</v>
      </c>
    </row>
    <row r="1450" spans="2:4" ht="13.25" customHeight="1">
      <c r="B1450" s="203">
        <v>43080</v>
      </c>
      <c r="C1450" s="202">
        <v>6.4291780000000003</v>
      </c>
      <c r="D1450" s="202">
        <v>1.2691589999999999</v>
      </c>
    </row>
    <row r="1451" spans="2:4" ht="13.25" customHeight="1">
      <c r="B1451" s="203">
        <v>43081</v>
      </c>
      <c r="C1451" s="202">
        <v>6.4487500000000004</v>
      </c>
      <c r="D1451" s="202">
        <v>1.776975</v>
      </c>
    </row>
    <row r="1452" spans="2:4" ht="13.25" customHeight="1">
      <c r="B1452" s="203">
        <v>43082</v>
      </c>
      <c r="C1452" s="202">
        <v>6.4193920000000002</v>
      </c>
      <c r="D1452" s="202">
        <v>1.9430540000000001</v>
      </c>
    </row>
    <row r="1453" spans="2:4" ht="13.25" customHeight="1">
      <c r="B1453" s="203">
        <v>43083</v>
      </c>
      <c r="C1453" s="202">
        <v>6.2970709999999999</v>
      </c>
      <c r="D1453" s="202">
        <v>2.2435040000000002</v>
      </c>
    </row>
    <row r="1454" spans="2:4" ht="13.25" customHeight="1">
      <c r="B1454" s="203">
        <v>43084</v>
      </c>
      <c r="C1454" s="202">
        <v>6.2187859999999997</v>
      </c>
      <c r="D1454" s="202">
        <v>3.2607379999999999</v>
      </c>
    </row>
    <row r="1455" spans="2:4" ht="13.25" customHeight="1">
      <c r="B1455" s="203">
        <v>43087</v>
      </c>
      <c r="C1455" s="202">
        <v>6.3460000000000001</v>
      </c>
      <c r="D1455" s="202">
        <v>2.3784360000000002</v>
      </c>
    </row>
    <row r="1456" spans="2:4" ht="13.25" customHeight="1">
      <c r="B1456" s="203">
        <v>43088</v>
      </c>
      <c r="C1456" s="202">
        <v>6.321536</v>
      </c>
      <c r="D1456" s="202">
        <v>1.48943</v>
      </c>
    </row>
    <row r="1457" spans="2:4" ht="13.25" customHeight="1">
      <c r="B1457" s="203">
        <v>43089</v>
      </c>
      <c r="C1457" s="202">
        <v>6.2872859999999999</v>
      </c>
      <c r="D1457" s="202">
        <v>1.3436859999999999</v>
      </c>
    </row>
    <row r="1458" spans="2:4" ht="13.25" customHeight="1">
      <c r="B1458" s="203">
        <v>43090</v>
      </c>
      <c r="C1458" s="202">
        <v>6.2530359999999998</v>
      </c>
      <c r="D1458" s="202">
        <v>2.0635349999999999</v>
      </c>
    </row>
    <row r="1459" spans="2:4" ht="13.25" customHeight="1">
      <c r="B1459" s="203">
        <v>43091</v>
      </c>
      <c r="C1459" s="202">
        <v>6.2726069999999998</v>
      </c>
      <c r="D1459" s="202">
        <v>1.148728</v>
      </c>
    </row>
    <row r="1460" spans="2:4" ht="13.25" customHeight="1">
      <c r="B1460" s="203">
        <v>43096</v>
      </c>
      <c r="C1460" s="202">
        <v>6.3508930000000001</v>
      </c>
      <c r="D1460" s="202">
        <v>1.0484180000000001</v>
      </c>
    </row>
    <row r="1461" spans="2:4" ht="13.25" customHeight="1">
      <c r="B1461" s="203">
        <v>43097</v>
      </c>
      <c r="C1461" s="202">
        <v>6.3606790000000002</v>
      </c>
      <c r="D1461" s="202">
        <v>1.2215419999999999</v>
      </c>
    </row>
    <row r="1462" spans="2:4" ht="13.25" customHeight="1">
      <c r="B1462" s="203">
        <v>43098</v>
      </c>
      <c r="C1462" s="202">
        <v>6.3068580000000001</v>
      </c>
      <c r="D1462" s="202">
        <v>1.157157</v>
      </c>
    </row>
    <row r="1463" spans="2:4" ht="13.25" customHeight="1">
      <c r="B1463" s="203">
        <v>43102</v>
      </c>
      <c r="C1463" s="202">
        <v>6.2187859999999997</v>
      </c>
      <c r="D1463" s="202">
        <v>1.6205540000000001</v>
      </c>
    </row>
    <row r="1464" spans="2:4" ht="13.25" customHeight="1">
      <c r="B1464" s="203">
        <v>43103</v>
      </c>
      <c r="C1464" s="202">
        <v>6.1649649999999996</v>
      </c>
      <c r="D1464" s="202">
        <v>2.1631619999999998</v>
      </c>
    </row>
    <row r="1465" spans="2:4" ht="13.25" customHeight="1">
      <c r="B1465" s="203">
        <v>43104</v>
      </c>
      <c r="C1465" s="202">
        <v>6.1258229999999996</v>
      </c>
      <c r="D1465" s="202">
        <v>2.705282</v>
      </c>
    </row>
    <row r="1466" spans="2:4" ht="13.25" customHeight="1">
      <c r="B1466" s="203">
        <v>43105</v>
      </c>
      <c r="C1466" s="202">
        <v>6.2236799999999999</v>
      </c>
      <c r="D1466" s="202">
        <v>2.8382770000000002</v>
      </c>
    </row>
    <row r="1467" spans="2:4" ht="13.25" customHeight="1">
      <c r="B1467" s="203">
        <v>43108</v>
      </c>
      <c r="C1467" s="202">
        <v>6.1845359999999996</v>
      </c>
      <c r="D1467" s="202">
        <v>3.391375</v>
      </c>
    </row>
    <row r="1468" spans="2:4" ht="13.25" customHeight="1">
      <c r="B1468" s="203">
        <v>43109</v>
      </c>
      <c r="C1468" s="202">
        <v>6.1600720000000004</v>
      </c>
      <c r="D1468" s="202">
        <v>2.0324900000000001</v>
      </c>
    </row>
    <row r="1469" spans="2:4" ht="13.25" customHeight="1">
      <c r="B1469" s="203">
        <v>43110</v>
      </c>
      <c r="C1469" s="202">
        <v>6.2041079999999997</v>
      </c>
      <c r="D1469" s="202">
        <v>2.00013</v>
      </c>
    </row>
    <row r="1470" spans="2:4" ht="13.25" customHeight="1">
      <c r="B1470" s="203">
        <v>43111</v>
      </c>
      <c r="C1470" s="202">
        <v>6.1894289999999996</v>
      </c>
      <c r="D1470" s="202">
        <v>2.5258780000000001</v>
      </c>
    </row>
    <row r="1471" spans="2:4" ht="13.25" customHeight="1">
      <c r="B1471" s="203">
        <v>43112</v>
      </c>
      <c r="C1471" s="202">
        <v>6.2041079999999997</v>
      </c>
      <c r="D1471" s="202">
        <v>2.1115729999999999</v>
      </c>
    </row>
    <row r="1472" spans="2:4" ht="13.25" customHeight="1">
      <c r="B1472" s="203">
        <v>43115</v>
      </c>
      <c r="C1472" s="202">
        <v>6.2432509999999999</v>
      </c>
      <c r="D1472" s="202">
        <v>2.0353400000000001</v>
      </c>
    </row>
    <row r="1473" spans="2:4" ht="13.25" customHeight="1">
      <c r="B1473" s="203">
        <v>43116</v>
      </c>
      <c r="C1473" s="202">
        <v>6.2432509999999999</v>
      </c>
      <c r="D1473" s="202">
        <v>2.4476100000000001</v>
      </c>
    </row>
    <row r="1474" spans="2:4" ht="13.25" customHeight="1">
      <c r="B1474" s="203">
        <v>43117</v>
      </c>
      <c r="C1474" s="202">
        <v>6.2677149999999999</v>
      </c>
      <c r="D1474" s="202">
        <v>1.936966</v>
      </c>
    </row>
    <row r="1475" spans="2:4" ht="13.25" customHeight="1">
      <c r="B1475" s="203">
        <v>43118</v>
      </c>
      <c r="C1475" s="202">
        <v>6.1111440000000004</v>
      </c>
      <c r="D1475" s="202">
        <v>5.1760409999999997</v>
      </c>
    </row>
    <row r="1476" spans="2:4" ht="13.25" customHeight="1">
      <c r="B1476" s="203">
        <v>43119</v>
      </c>
      <c r="C1476" s="202">
        <v>6.1649649999999996</v>
      </c>
      <c r="D1476" s="202">
        <v>3.2938329999999998</v>
      </c>
    </row>
    <row r="1477" spans="2:4" ht="13.25" customHeight="1">
      <c r="B1477" s="203">
        <v>43122</v>
      </c>
      <c r="C1477" s="202">
        <v>6.2090009999999998</v>
      </c>
      <c r="D1477" s="202">
        <v>1.6127210000000001</v>
      </c>
    </row>
    <row r="1478" spans="2:4" ht="13.25" customHeight="1">
      <c r="B1478" s="203">
        <v>43123</v>
      </c>
      <c r="C1478" s="202">
        <v>6.2823929999999999</v>
      </c>
      <c r="D1478" s="202">
        <v>2.3932259999999999</v>
      </c>
    </row>
    <row r="1479" spans="2:4" ht="13.25" customHeight="1">
      <c r="B1479" s="203">
        <v>43124</v>
      </c>
      <c r="C1479" s="202">
        <v>6.1502860000000004</v>
      </c>
      <c r="D1479" s="202">
        <v>2.1043080000000001</v>
      </c>
    </row>
    <row r="1480" spans="2:4" ht="13.25" customHeight="1">
      <c r="B1480" s="203">
        <v>43125</v>
      </c>
      <c r="C1480" s="202">
        <v>6.1894289999999996</v>
      </c>
      <c r="D1480" s="202">
        <v>1.9780580000000001</v>
      </c>
    </row>
    <row r="1481" spans="2:4" ht="13.25" customHeight="1">
      <c r="B1481" s="203">
        <v>43126</v>
      </c>
      <c r="C1481" s="202">
        <v>6.2872859999999999</v>
      </c>
      <c r="D1481" s="202">
        <v>1.7413909999999999</v>
      </c>
    </row>
    <row r="1482" spans="2:4" ht="13.25" customHeight="1">
      <c r="B1482" s="203">
        <v>43129</v>
      </c>
      <c r="C1482" s="202">
        <v>6.2481439999999999</v>
      </c>
      <c r="D1482" s="202">
        <v>1.486577</v>
      </c>
    </row>
    <row r="1483" spans="2:4" ht="13.25" customHeight="1">
      <c r="B1483" s="203">
        <v>43130</v>
      </c>
      <c r="C1483" s="202">
        <v>6.2334649999999998</v>
      </c>
      <c r="D1483" s="202">
        <v>1.8460449999999999</v>
      </c>
    </row>
    <row r="1484" spans="2:4" ht="13.25" customHeight="1">
      <c r="B1484" s="203">
        <v>43131</v>
      </c>
      <c r="C1484" s="202">
        <v>6.2726069999999998</v>
      </c>
      <c r="D1484" s="202">
        <v>2.754483</v>
      </c>
    </row>
    <row r="1485" spans="2:4" ht="13.25" customHeight="1">
      <c r="B1485" s="203">
        <v>43132</v>
      </c>
      <c r="C1485" s="202">
        <v>6.3753570000000002</v>
      </c>
      <c r="D1485" s="202">
        <v>3.1681309999999998</v>
      </c>
    </row>
    <row r="1486" spans="2:4" ht="13.25" customHeight="1">
      <c r="B1486" s="203">
        <v>43133</v>
      </c>
      <c r="C1486" s="202">
        <v>6.331321</v>
      </c>
      <c r="D1486" s="202">
        <v>2.8361510000000001</v>
      </c>
    </row>
    <row r="1487" spans="2:4" ht="13.25" customHeight="1">
      <c r="B1487" s="203">
        <v>43136</v>
      </c>
      <c r="C1487" s="202">
        <v>6.2138939999999998</v>
      </c>
      <c r="D1487" s="202">
        <v>2.7619539999999998</v>
      </c>
    </row>
    <row r="1488" spans="2:4" ht="13.25" customHeight="1">
      <c r="B1488" s="203">
        <v>43137</v>
      </c>
      <c r="C1488" s="202">
        <v>6.0622160000000003</v>
      </c>
      <c r="D1488" s="202">
        <v>4.3086250000000001</v>
      </c>
    </row>
    <row r="1489" spans="2:4" ht="13.25" customHeight="1">
      <c r="B1489" s="203">
        <v>43138</v>
      </c>
      <c r="C1489" s="202">
        <v>6.0524300000000002</v>
      </c>
      <c r="D1489" s="202">
        <v>3.9975710000000002</v>
      </c>
    </row>
    <row r="1490" spans="2:4" ht="13.25" customHeight="1">
      <c r="B1490" s="203">
        <v>43139</v>
      </c>
      <c r="C1490" s="202">
        <v>5.8665019999999997</v>
      </c>
      <c r="D1490" s="202">
        <v>3.8052039999999998</v>
      </c>
    </row>
    <row r="1491" spans="2:4" ht="13.25" customHeight="1">
      <c r="B1491" s="203">
        <v>43140</v>
      </c>
      <c r="C1491" s="202">
        <v>5.9154309999999999</v>
      </c>
      <c r="D1491" s="202">
        <v>2.6727069999999999</v>
      </c>
    </row>
    <row r="1492" spans="2:4" ht="13.25" customHeight="1">
      <c r="B1492" s="203">
        <v>43143</v>
      </c>
      <c r="C1492" s="202">
        <v>5.9398960000000001</v>
      </c>
      <c r="D1492" s="202">
        <v>1.8828940000000001</v>
      </c>
    </row>
    <row r="1493" spans="2:4" ht="13.25" customHeight="1">
      <c r="B1493" s="203">
        <v>43144</v>
      </c>
      <c r="C1493" s="202">
        <v>5.9301089999999999</v>
      </c>
      <c r="D1493" s="202">
        <v>1.528273</v>
      </c>
    </row>
    <row r="1494" spans="2:4" ht="13.25" customHeight="1">
      <c r="B1494" s="203">
        <v>43145</v>
      </c>
      <c r="C1494" s="202">
        <v>6.0426450000000003</v>
      </c>
      <c r="D1494" s="202">
        <v>2.1823459999999999</v>
      </c>
    </row>
    <row r="1495" spans="2:4" ht="13.25" customHeight="1">
      <c r="B1495" s="203">
        <v>43146</v>
      </c>
      <c r="C1495" s="202">
        <v>5.974145</v>
      </c>
      <c r="D1495" s="202">
        <v>2.5200710000000002</v>
      </c>
    </row>
    <row r="1496" spans="2:4" ht="13.25" customHeight="1">
      <c r="B1496" s="203">
        <v>43147</v>
      </c>
      <c r="C1496" s="202">
        <v>6.0768940000000002</v>
      </c>
      <c r="D1496" s="202">
        <v>2.02291</v>
      </c>
    </row>
    <row r="1497" spans="2:4" ht="13.25" customHeight="1">
      <c r="B1497" s="203">
        <v>43150</v>
      </c>
      <c r="C1497" s="202">
        <v>6.1111440000000004</v>
      </c>
      <c r="D1497" s="202">
        <v>1.4509030000000001</v>
      </c>
    </row>
    <row r="1498" spans="2:4" ht="13.25" customHeight="1">
      <c r="B1498" s="203">
        <v>43151</v>
      </c>
      <c r="C1498" s="202">
        <v>6.0964660000000004</v>
      </c>
      <c r="D1498" s="202">
        <v>1.720221</v>
      </c>
    </row>
    <row r="1499" spans="2:4" ht="13.25" customHeight="1">
      <c r="B1499" s="203">
        <v>43152</v>
      </c>
      <c r="C1499" s="202">
        <v>6.1307150000000004</v>
      </c>
      <c r="D1499" s="202">
        <v>1.7791220000000001</v>
      </c>
    </row>
    <row r="1500" spans="2:4" ht="13.25" customHeight="1">
      <c r="B1500" s="203">
        <v>43153</v>
      </c>
      <c r="C1500" s="202">
        <v>6.0866800000000003</v>
      </c>
      <c r="D1500" s="202">
        <v>2.102217</v>
      </c>
    </row>
    <row r="1501" spans="2:4" ht="13.25" customHeight="1">
      <c r="B1501" s="203">
        <v>43154</v>
      </c>
      <c r="C1501" s="202">
        <v>6.0964660000000004</v>
      </c>
      <c r="D1501" s="202">
        <v>2.2876859999999999</v>
      </c>
    </row>
    <row r="1502" spans="2:4" ht="13.25" customHeight="1">
      <c r="B1502" s="203">
        <v>43157</v>
      </c>
      <c r="C1502" s="202">
        <v>6.1698579999999996</v>
      </c>
      <c r="D1502" s="202">
        <v>1.7186140000000001</v>
      </c>
    </row>
    <row r="1503" spans="2:4" ht="13.25" customHeight="1">
      <c r="B1503" s="203">
        <v>43158</v>
      </c>
      <c r="C1503" s="202">
        <v>5.969252</v>
      </c>
      <c r="D1503" s="202">
        <v>5.2827599999999997</v>
      </c>
    </row>
    <row r="1504" spans="2:4" ht="13.25" customHeight="1">
      <c r="B1504" s="203">
        <v>43159</v>
      </c>
      <c r="C1504" s="202">
        <v>5.7735390000000004</v>
      </c>
      <c r="D1504" s="202">
        <v>8.7081949999999999</v>
      </c>
    </row>
    <row r="1505" spans="2:4" ht="13.25" customHeight="1">
      <c r="B1505" s="203">
        <v>43160</v>
      </c>
      <c r="C1505" s="202">
        <v>5.7246110000000003</v>
      </c>
      <c r="D1505" s="202">
        <v>5.393135</v>
      </c>
    </row>
    <row r="1506" spans="2:4" ht="13.25" customHeight="1">
      <c r="B1506" s="203">
        <v>43161</v>
      </c>
      <c r="C1506" s="202">
        <v>5.621861</v>
      </c>
      <c r="D1506" s="202">
        <v>2.9217080000000002</v>
      </c>
    </row>
    <row r="1507" spans="2:4" ht="13.25" customHeight="1">
      <c r="B1507" s="203">
        <v>43164</v>
      </c>
      <c r="C1507" s="202">
        <v>5.7001460000000002</v>
      </c>
      <c r="D1507" s="202">
        <v>3.280341</v>
      </c>
    </row>
    <row r="1508" spans="2:4" ht="13.25" customHeight="1">
      <c r="B1508" s="203">
        <v>43165</v>
      </c>
      <c r="C1508" s="202">
        <v>5.8126819999999997</v>
      </c>
      <c r="D1508" s="202">
        <v>3.1894260000000001</v>
      </c>
    </row>
    <row r="1509" spans="2:4" ht="13.25" customHeight="1">
      <c r="B1509" s="203">
        <v>43166</v>
      </c>
      <c r="C1509" s="202">
        <v>5.8371459999999997</v>
      </c>
      <c r="D1509" s="202">
        <v>2.6447880000000001</v>
      </c>
    </row>
    <row r="1510" spans="2:4" ht="13.25" customHeight="1">
      <c r="B1510" s="203">
        <v>43167</v>
      </c>
      <c r="C1510" s="202">
        <v>6.0181810000000002</v>
      </c>
      <c r="D1510" s="202">
        <v>3.4075449999999998</v>
      </c>
    </row>
    <row r="1511" spans="2:4" ht="13.25" customHeight="1">
      <c r="B1511" s="203">
        <v>43168</v>
      </c>
      <c r="C1511" s="202">
        <v>5.9986100000000002</v>
      </c>
      <c r="D1511" s="202">
        <v>2.7018239999999998</v>
      </c>
    </row>
    <row r="1512" spans="2:4" ht="13.25" customHeight="1">
      <c r="B1512" s="203">
        <v>43171</v>
      </c>
      <c r="C1512" s="202">
        <v>6.0083950000000002</v>
      </c>
      <c r="D1512" s="202">
        <v>1.6471359999999999</v>
      </c>
    </row>
    <row r="1513" spans="2:4" ht="13.25" customHeight="1">
      <c r="B1513" s="203">
        <v>43172</v>
      </c>
      <c r="C1513" s="202">
        <v>5.964359</v>
      </c>
      <c r="D1513" s="202">
        <v>2.322406</v>
      </c>
    </row>
    <row r="1514" spans="2:4" ht="13.25" customHeight="1">
      <c r="B1514" s="203">
        <v>43173</v>
      </c>
      <c r="C1514" s="202">
        <v>5.9398960000000001</v>
      </c>
      <c r="D1514" s="202">
        <v>1.9688429999999999</v>
      </c>
    </row>
    <row r="1515" spans="2:4" ht="13.25" customHeight="1">
      <c r="B1515" s="203">
        <v>43174</v>
      </c>
      <c r="C1515" s="202">
        <v>6.0083950000000002</v>
      </c>
      <c r="D1515" s="202">
        <v>1.9610590000000001</v>
      </c>
    </row>
    <row r="1516" spans="2:4" ht="13.25" customHeight="1">
      <c r="B1516" s="203">
        <v>43175</v>
      </c>
      <c r="C1516" s="202">
        <v>5.9986100000000002</v>
      </c>
      <c r="D1516" s="202">
        <v>3.9237000000000002</v>
      </c>
    </row>
    <row r="1517" spans="2:4" ht="13.25" customHeight="1">
      <c r="B1517" s="203">
        <v>43178</v>
      </c>
      <c r="C1517" s="202">
        <v>5.9350019999999999</v>
      </c>
      <c r="D1517" s="202">
        <v>1.479436</v>
      </c>
    </row>
    <row r="1518" spans="2:4" ht="13.25" customHeight="1">
      <c r="B1518" s="203">
        <v>43179</v>
      </c>
      <c r="C1518" s="202">
        <v>5.969252</v>
      </c>
      <c r="D1518" s="202">
        <v>2.329097</v>
      </c>
    </row>
    <row r="1519" spans="2:4" ht="13.25" customHeight="1">
      <c r="B1519" s="203">
        <v>43180</v>
      </c>
      <c r="C1519" s="202">
        <v>5.988823</v>
      </c>
      <c r="D1519" s="202">
        <v>1.304222</v>
      </c>
    </row>
    <row r="1520" spans="2:4" ht="13.25" customHeight="1">
      <c r="B1520" s="203">
        <v>43181</v>
      </c>
      <c r="C1520" s="202">
        <v>6.0181810000000002</v>
      </c>
      <c r="D1520" s="202">
        <v>2.1384690000000002</v>
      </c>
    </row>
    <row r="1521" spans="2:4" ht="13.25" customHeight="1">
      <c r="B1521" s="203">
        <v>43182</v>
      </c>
      <c r="C1521" s="202">
        <v>6.0426450000000003</v>
      </c>
      <c r="D1521" s="202">
        <v>2.1136680000000001</v>
      </c>
    </row>
    <row r="1522" spans="2:4" ht="13.25" customHeight="1">
      <c r="B1522" s="203">
        <v>43185</v>
      </c>
      <c r="C1522" s="202">
        <v>5.9790380000000001</v>
      </c>
      <c r="D1522" s="202">
        <v>1.872922</v>
      </c>
    </row>
    <row r="1523" spans="2:4" ht="13.25" customHeight="1">
      <c r="B1523" s="203">
        <v>43186</v>
      </c>
      <c r="C1523" s="202">
        <v>6.0377520000000002</v>
      </c>
      <c r="D1523" s="202">
        <v>1.5943510000000001</v>
      </c>
    </row>
    <row r="1524" spans="2:4" ht="13.25" customHeight="1">
      <c r="B1524" s="203">
        <v>43187</v>
      </c>
      <c r="C1524" s="202">
        <v>6.0671090000000003</v>
      </c>
      <c r="D1524" s="202">
        <v>1.8520129999999999</v>
      </c>
    </row>
    <row r="1525" spans="2:4" ht="13.25" customHeight="1">
      <c r="B1525" s="203">
        <v>43188</v>
      </c>
      <c r="C1525" s="202">
        <v>6.0181810000000002</v>
      </c>
      <c r="D1525" s="202">
        <v>2.2102789999999999</v>
      </c>
    </row>
    <row r="1526" spans="2:4" ht="13.25" customHeight="1">
      <c r="B1526" s="203">
        <v>43193</v>
      </c>
      <c r="C1526" s="202">
        <v>5.964359</v>
      </c>
      <c r="D1526" s="202">
        <v>2.1559460000000001</v>
      </c>
    </row>
    <row r="1527" spans="2:4" ht="13.25" customHeight="1">
      <c r="B1527" s="203">
        <v>43194</v>
      </c>
      <c r="C1527" s="202">
        <v>6.0132880000000002</v>
      </c>
      <c r="D1527" s="202">
        <v>1.9782010000000001</v>
      </c>
    </row>
    <row r="1528" spans="2:4" ht="13.25" customHeight="1">
      <c r="B1528" s="203">
        <v>43195</v>
      </c>
      <c r="C1528" s="202">
        <v>6.1453939999999996</v>
      </c>
      <c r="D1528" s="202">
        <v>2.8795609999999998</v>
      </c>
    </row>
    <row r="1529" spans="2:4" ht="13.25" customHeight="1">
      <c r="B1529" s="203">
        <v>43196</v>
      </c>
      <c r="C1529" s="202">
        <v>6.2041079999999997</v>
      </c>
      <c r="D1529" s="202">
        <v>1.5446409999999999</v>
      </c>
    </row>
    <row r="1530" spans="2:4" ht="13.25" customHeight="1">
      <c r="B1530" s="203">
        <v>43199</v>
      </c>
      <c r="C1530" s="202">
        <v>6.2579289999999999</v>
      </c>
      <c r="D1530" s="202">
        <v>1.514202</v>
      </c>
    </row>
    <row r="1531" spans="2:4" ht="13.25" customHeight="1">
      <c r="B1531" s="203">
        <v>43200</v>
      </c>
      <c r="C1531" s="202">
        <v>6.2481439999999999</v>
      </c>
      <c r="D1531" s="202">
        <v>2.394415</v>
      </c>
    </row>
    <row r="1532" spans="2:4" ht="13.25" customHeight="1">
      <c r="B1532" s="203">
        <v>43201</v>
      </c>
      <c r="C1532" s="202">
        <v>6.1698579999999996</v>
      </c>
      <c r="D1532" s="202">
        <v>1.6051029999999999</v>
      </c>
    </row>
    <row r="1533" spans="2:4" ht="13.25" customHeight="1">
      <c r="B1533" s="203">
        <v>43202</v>
      </c>
      <c r="C1533" s="202">
        <v>6.1698579999999996</v>
      </c>
      <c r="D1533" s="202">
        <v>0.99634100000000003</v>
      </c>
    </row>
    <row r="1534" spans="2:4" ht="13.25" customHeight="1">
      <c r="B1534" s="203">
        <v>43203</v>
      </c>
      <c r="C1534" s="202">
        <v>6.1992149999999997</v>
      </c>
      <c r="D1534" s="202">
        <v>1.258116</v>
      </c>
    </row>
    <row r="1535" spans="2:4" ht="13.25" customHeight="1">
      <c r="B1535" s="203">
        <v>43206</v>
      </c>
      <c r="C1535" s="202">
        <v>6.2285719999999998</v>
      </c>
      <c r="D1535" s="202">
        <v>1.3967430000000001</v>
      </c>
    </row>
    <row r="1536" spans="2:4" ht="13.25" customHeight="1">
      <c r="B1536" s="203">
        <v>43207</v>
      </c>
      <c r="C1536" s="202">
        <v>6.2432509999999999</v>
      </c>
      <c r="D1536" s="202">
        <v>2.2357740000000002</v>
      </c>
    </row>
    <row r="1537" spans="2:4" ht="13.25" customHeight="1">
      <c r="B1537" s="203">
        <v>43208</v>
      </c>
      <c r="C1537" s="202">
        <v>6.1062510000000003</v>
      </c>
      <c r="D1537" s="202">
        <v>2.9190429999999998</v>
      </c>
    </row>
    <row r="1538" spans="2:4" ht="13.25" customHeight="1">
      <c r="B1538" s="203">
        <v>43209</v>
      </c>
      <c r="C1538" s="202">
        <v>6.1698579999999996</v>
      </c>
      <c r="D1538" s="202">
        <v>2.3432789999999999</v>
      </c>
    </row>
    <row r="1539" spans="2:4" ht="13.25" customHeight="1">
      <c r="B1539" s="203">
        <v>43210</v>
      </c>
      <c r="C1539" s="202">
        <v>6.0132880000000002</v>
      </c>
      <c r="D1539" s="202">
        <v>3.0720350000000001</v>
      </c>
    </row>
    <row r="1540" spans="2:4" ht="13.25" customHeight="1">
      <c r="B1540" s="203">
        <v>43213</v>
      </c>
      <c r="C1540" s="202">
        <v>5.9790380000000001</v>
      </c>
      <c r="D1540" s="202">
        <v>2.8742610000000002</v>
      </c>
    </row>
    <row r="1541" spans="2:4" ht="13.25" customHeight="1">
      <c r="B1541" s="203">
        <v>43214</v>
      </c>
      <c r="C1541" s="202">
        <v>6.0230730000000001</v>
      </c>
      <c r="D1541" s="202">
        <v>1.8513280000000001</v>
      </c>
    </row>
    <row r="1542" spans="2:4" ht="13.25" customHeight="1">
      <c r="B1542" s="203">
        <v>43215</v>
      </c>
      <c r="C1542" s="202">
        <v>6.0524300000000002</v>
      </c>
      <c r="D1542" s="202">
        <v>1.3910389999999999</v>
      </c>
    </row>
    <row r="1543" spans="2:4" ht="13.25" customHeight="1">
      <c r="B1543" s="203">
        <v>43216</v>
      </c>
      <c r="C1543" s="202">
        <v>6.0915720000000002</v>
      </c>
      <c r="D1543" s="202">
        <v>1.788616</v>
      </c>
    </row>
    <row r="1544" spans="2:4" ht="13.25" customHeight="1">
      <c r="B1544" s="203">
        <v>43217</v>
      </c>
      <c r="C1544" s="202">
        <v>6.0817870000000003</v>
      </c>
      <c r="D1544" s="202">
        <v>1.688018</v>
      </c>
    </row>
    <row r="1545" spans="2:4" ht="13.25" customHeight="1">
      <c r="B1545" s="203">
        <v>43220</v>
      </c>
      <c r="C1545" s="202">
        <v>6.0866800000000003</v>
      </c>
      <c r="D1545" s="202">
        <v>2.1888909999999999</v>
      </c>
    </row>
    <row r="1546" spans="2:4" ht="13.25" customHeight="1">
      <c r="B1546" s="203">
        <v>43222</v>
      </c>
      <c r="C1546" s="202">
        <v>6.0866800000000003</v>
      </c>
      <c r="D1546" s="202">
        <v>2.6036549999999998</v>
      </c>
    </row>
    <row r="1547" spans="2:4" ht="13.25" customHeight="1">
      <c r="B1547" s="203">
        <v>43223</v>
      </c>
      <c r="C1547" s="202">
        <v>6.0622160000000003</v>
      </c>
      <c r="D1547" s="202">
        <v>2.122255</v>
      </c>
    </row>
    <row r="1548" spans="2:4" ht="13.25" customHeight="1">
      <c r="B1548" s="203">
        <v>43224</v>
      </c>
      <c r="C1548" s="202">
        <v>6.0622160000000003</v>
      </c>
      <c r="D1548" s="202">
        <v>1.746772</v>
      </c>
    </row>
    <row r="1549" spans="2:4" ht="13.25" customHeight="1">
      <c r="B1549" s="203">
        <v>43227</v>
      </c>
      <c r="C1549" s="202">
        <v>6.0720010000000002</v>
      </c>
      <c r="D1549" s="202">
        <v>1.7493209999999999</v>
      </c>
    </row>
    <row r="1550" spans="2:4" ht="13.25" customHeight="1">
      <c r="B1550" s="203">
        <v>43228</v>
      </c>
      <c r="C1550" s="202">
        <v>6.0768940000000002</v>
      </c>
      <c r="D1550" s="202">
        <v>4.0036649999999998</v>
      </c>
    </row>
    <row r="1551" spans="2:4" ht="13.25" customHeight="1">
      <c r="B1551" s="203">
        <v>43229</v>
      </c>
      <c r="C1551" s="202">
        <v>6.1258229999999996</v>
      </c>
      <c r="D1551" s="202">
        <v>3.3892479999999998</v>
      </c>
    </row>
    <row r="1552" spans="2:4" ht="13.25" customHeight="1">
      <c r="B1552" s="203">
        <v>43230</v>
      </c>
      <c r="C1552" s="202">
        <v>6.1160370000000004</v>
      </c>
      <c r="D1552" s="202">
        <v>1.590109</v>
      </c>
    </row>
    <row r="1553" spans="2:4" ht="13.25" customHeight="1">
      <c r="B1553" s="203">
        <v>43231</v>
      </c>
      <c r="C1553" s="202">
        <v>6.1013580000000003</v>
      </c>
      <c r="D1553" s="202">
        <v>1.0464599999999999</v>
      </c>
    </row>
    <row r="1554" spans="2:4" ht="13.25" customHeight="1">
      <c r="B1554" s="203">
        <v>43234</v>
      </c>
      <c r="C1554" s="202">
        <v>6.1796439999999997</v>
      </c>
      <c r="D1554" s="202">
        <v>2.0086680000000001</v>
      </c>
    </row>
    <row r="1555" spans="2:4" ht="13.25" customHeight="1">
      <c r="B1555" s="203">
        <v>43235</v>
      </c>
      <c r="C1555" s="202">
        <v>6.2041079999999997</v>
      </c>
      <c r="D1555" s="202">
        <v>1.854843</v>
      </c>
    </row>
    <row r="1556" spans="2:4" ht="13.25" customHeight="1">
      <c r="B1556" s="203">
        <v>43236</v>
      </c>
      <c r="C1556" s="202">
        <v>6.1698579999999996</v>
      </c>
      <c r="D1556" s="202">
        <v>2.9272399999999998</v>
      </c>
    </row>
    <row r="1557" spans="2:4" ht="13.25" customHeight="1">
      <c r="B1557" s="203">
        <v>43237</v>
      </c>
      <c r="C1557" s="202">
        <v>6.2138939999999998</v>
      </c>
      <c r="D1557" s="202">
        <v>1.6325339999999999</v>
      </c>
    </row>
    <row r="1558" spans="2:4" ht="13.25" customHeight="1">
      <c r="B1558" s="203">
        <v>43238</v>
      </c>
      <c r="C1558" s="202">
        <v>6.2090009999999998</v>
      </c>
      <c r="D1558" s="202">
        <v>2.3149359999999999</v>
      </c>
    </row>
    <row r="1559" spans="2:4" ht="13.25" customHeight="1">
      <c r="B1559" s="203">
        <v>43241</v>
      </c>
      <c r="C1559" s="202">
        <v>6.2287270000000001</v>
      </c>
      <c r="D1559" s="202">
        <v>0.823932</v>
      </c>
    </row>
    <row r="1560" spans="2:4" ht="13.25" customHeight="1">
      <c r="B1560" s="203">
        <v>43242</v>
      </c>
      <c r="C1560" s="202">
        <v>6.2336590000000003</v>
      </c>
      <c r="D1560" s="202">
        <v>1.5701970000000001</v>
      </c>
    </row>
    <row r="1561" spans="2:4" ht="13.25" customHeight="1">
      <c r="B1561" s="203">
        <v>43243</v>
      </c>
      <c r="C1561" s="202">
        <v>6.2040689999999996</v>
      </c>
      <c r="D1561" s="202">
        <v>1.376657</v>
      </c>
    </row>
    <row r="1562" spans="2:4" ht="13.25" customHeight="1">
      <c r="B1562" s="203">
        <v>43244</v>
      </c>
      <c r="C1562" s="202">
        <v>6.297771</v>
      </c>
      <c r="D1562" s="202">
        <v>1.6413340000000001</v>
      </c>
    </row>
    <row r="1563" spans="2:4" ht="13.25" customHeight="1">
      <c r="B1563" s="203">
        <v>43245</v>
      </c>
      <c r="C1563" s="202">
        <v>6.4259950000000003</v>
      </c>
      <c r="D1563" s="202">
        <v>3.6507969999999998</v>
      </c>
    </row>
    <row r="1564" spans="2:4" ht="13.25" customHeight="1">
      <c r="B1564" s="203">
        <v>43248</v>
      </c>
      <c r="C1564" s="202">
        <v>6.4062679999999999</v>
      </c>
      <c r="D1564" s="202">
        <v>1.7126060000000001</v>
      </c>
    </row>
    <row r="1565" spans="2:4" ht="13.25" customHeight="1">
      <c r="B1565" s="203">
        <v>43249</v>
      </c>
      <c r="C1565" s="202">
        <v>6.3027030000000002</v>
      </c>
      <c r="D1565" s="202">
        <v>2.9099270000000002</v>
      </c>
    </row>
    <row r="1566" spans="2:4" ht="13.25" customHeight="1">
      <c r="B1566" s="203">
        <v>43250</v>
      </c>
      <c r="C1566" s="202">
        <v>6.3027030000000002</v>
      </c>
      <c r="D1566" s="202">
        <v>2.1437529999999998</v>
      </c>
    </row>
    <row r="1567" spans="2:4" ht="13.25" customHeight="1">
      <c r="B1567" s="203">
        <v>43251</v>
      </c>
      <c r="C1567" s="202">
        <v>6.3027030000000002</v>
      </c>
      <c r="D1567" s="202">
        <v>2.893856</v>
      </c>
    </row>
    <row r="1568" spans="2:4" ht="13.25" customHeight="1">
      <c r="B1568" s="203">
        <v>43252</v>
      </c>
      <c r="C1568" s="202">
        <v>6.2879079999999998</v>
      </c>
      <c r="D1568" s="202">
        <v>2.0667490000000002</v>
      </c>
    </row>
    <row r="1569" spans="2:4" ht="13.25" customHeight="1">
      <c r="B1569" s="203">
        <v>43255</v>
      </c>
      <c r="C1569" s="202">
        <v>6.3816090000000001</v>
      </c>
      <c r="D1569" s="202">
        <v>2.0692710000000001</v>
      </c>
    </row>
    <row r="1570" spans="2:4" ht="13.25" customHeight="1">
      <c r="B1570" s="203">
        <v>43256</v>
      </c>
      <c r="C1570" s="202">
        <v>6.4950390000000002</v>
      </c>
      <c r="D1570" s="202">
        <v>2.7176239999999998</v>
      </c>
    </row>
    <row r="1571" spans="2:4" ht="13.25" customHeight="1">
      <c r="B1571" s="203">
        <v>43257</v>
      </c>
      <c r="C1571" s="202">
        <v>6.4753119999999997</v>
      </c>
      <c r="D1571" s="202">
        <v>2.2143929999999998</v>
      </c>
    </row>
    <row r="1572" spans="2:4" ht="13.25" customHeight="1">
      <c r="B1572" s="203">
        <v>43258</v>
      </c>
      <c r="C1572" s="202">
        <v>6.3569519999999997</v>
      </c>
      <c r="D1572" s="202">
        <v>1.3738570000000001</v>
      </c>
    </row>
    <row r="1573" spans="2:4" ht="13.25" customHeight="1">
      <c r="B1573" s="203">
        <v>43259</v>
      </c>
      <c r="C1573" s="202">
        <v>6.3569519999999997</v>
      </c>
      <c r="D1573" s="202">
        <v>1.335947</v>
      </c>
    </row>
    <row r="1574" spans="2:4" ht="13.25" customHeight="1">
      <c r="B1574" s="203">
        <v>43262</v>
      </c>
      <c r="C1574" s="202">
        <v>6.5147659999999998</v>
      </c>
      <c r="D1574" s="202">
        <v>2.0133700000000001</v>
      </c>
    </row>
    <row r="1575" spans="2:4" ht="13.25" customHeight="1">
      <c r="B1575" s="203">
        <v>43263</v>
      </c>
      <c r="C1575" s="202">
        <v>6.6133990000000002</v>
      </c>
      <c r="D1575" s="202">
        <v>2.1638009999999999</v>
      </c>
    </row>
    <row r="1576" spans="2:4" ht="13.25" customHeight="1">
      <c r="B1576" s="203">
        <v>43264</v>
      </c>
      <c r="C1576" s="202">
        <v>6.7564190000000002</v>
      </c>
      <c r="D1576" s="202">
        <v>2.6735479999999998</v>
      </c>
    </row>
    <row r="1577" spans="2:4" ht="13.25" customHeight="1">
      <c r="B1577" s="203">
        <v>43265</v>
      </c>
      <c r="C1577" s="202">
        <v>6.8303940000000001</v>
      </c>
      <c r="D1577" s="202">
        <v>2.4375960000000001</v>
      </c>
    </row>
    <row r="1578" spans="2:4" ht="13.25" customHeight="1">
      <c r="B1578" s="203">
        <v>43266</v>
      </c>
      <c r="C1578" s="202">
        <v>6.9290279999999997</v>
      </c>
      <c r="D1578" s="202">
        <v>5.7030139999999996</v>
      </c>
    </row>
    <row r="1579" spans="2:4" ht="13.25" customHeight="1">
      <c r="B1579" s="203">
        <v>43269</v>
      </c>
      <c r="C1579" s="202">
        <v>6.9339589999999998</v>
      </c>
      <c r="D1579" s="202">
        <v>2.0861200000000002</v>
      </c>
    </row>
    <row r="1580" spans="2:4" ht="13.25" customHeight="1">
      <c r="B1580" s="203">
        <v>43270</v>
      </c>
      <c r="C1580" s="202">
        <v>6.8550519999999997</v>
      </c>
      <c r="D1580" s="202">
        <v>1.6362730000000001</v>
      </c>
    </row>
    <row r="1581" spans="2:4" ht="13.25" customHeight="1">
      <c r="B1581" s="203">
        <v>43271</v>
      </c>
      <c r="C1581" s="202">
        <v>6.8057359999999996</v>
      </c>
      <c r="D1581" s="202">
        <v>2.6922329999999999</v>
      </c>
    </row>
    <row r="1582" spans="2:4" ht="13.25" customHeight="1">
      <c r="B1582" s="203">
        <v>43272</v>
      </c>
      <c r="C1582" s="202">
        <v>6.7366910000000004</v>
      </c>
      <c r="D1582" s="202">
        <v>1.578346</v>
      </c>
    </row>
    <row r="1583" spans="2:4" ht="13.25" customHeight="1">
      <c r="B1583" s="203">
        <v>43273</v>
      </c>
      <c r="C1583" s="202">
        <v>6.8303940000000001</v>
      </c>
      <c r="D1583" s="202">
        <v>1.7950630000000001</v>
      </c>
    </row>
    <row r="1584" spans="2:4" ht="13.25" customHeight="1">
      <c r="B1584" s="203">
        <v>43276</v>
      </c>
      <c r="C1584" s="202">
        <v>6.8155979999999996</v>
      </c>
      <c r="D1584" s="202">
        <v>1.543609</v>
      </c>
    </row>
    <row r="1585" spans="2:4" ht="13.25" customHeight="1">
      <c r="B1585" s="203">
        <v>43277</v>
      </c>
      <c r="C1585" s="202">
        <v>6.7564190000000002</v>
      </c>
      <c r="D1585" s="202">
        <v>1.241457</v>
      </c>
    </row>
    <row r="1586" spans="2:4" ht="13.25" customHeight="1">
      <c r="B1586" s="203">
        <v>43278</v>
      </c>
      <c r="C1586" s="202">
        <v>6.8895739999999996</v>
      </c>
      <c r="D1586" s="202">
        <v>2.2585730000000002</v>
      </c>
    </row>
    <row r="1587" spans="2:4" ht="13.25" customHeight="1">
      <c r="B1587" s="203">
        <v>43279</v>
      </c>
      <c r="C1587" s="202">
        <v>6.8057359999999996</v>
      </c>
      <c r="D1587" s="202">
        <v>1.7693239999999999</v>
      </c>
    </row>
    <row r="1588" spans="2:4" ht="13.25" customHeight="1">
      <c r="B1588" s="203">
        <v>43280</v>
      </c>
      <c r="C1588" s="202">
        <v>6.9487540000000001</v>
      </c>
      <c r="D1588" s="202">
        <v>2.2992080000000001</v>
      </c>
    </row>
    <row r="1589" spans="2:4" ht="13.25" customHeight="1">
      <c r="B1589" s="203">
        <v>43283</v>
      </c>
      <c r="C1589" s="202">
        <v>6.9487540000000001</v>
      </c>
      <c r="D1589" s="202">
        <v>1.6876789999999999</v>
      </c>
    </row>
    <row r="1590" spans="2:4" ht="13.25" customHeight="1">
      <c r="B1590" s="203">
        <v>43284</v>
      </c>
      <c r="C1590" s="202">
        <v>7.0671150000000003</v>
      </c>
      <c r="D1590" s="202">
        <v>1.7335929999999999</v>
      </c>
    </row>
    <row r="1591" spans="2:4" ht="13.25" customHeight="1">
      <c r="B1591" s="203">
        <v>43285</v>
      </c>
      <c r="C1591" s="202">
        <v>7.0128659999999998</v>
      </c>
      <c r="D1591" s="202">
        <v>1.4398569999999999</v>
      </c>
    </row>
    <row r="1592" spans="2:4" ht="13.25" customHeight="1">
      <c r="B1592" s="203">
        <v>43286</v>
      </c>
      <c r="C1592" s="202">
        <v>7.0720470000000004</v>
      </c>
      <c r="D1592" s="202">
        <v>2.3813650000000002</v>
      </c>
    </row>
    <row r="1593" spans="2:4" ht="13.25" customHeight="1">
      <c r="B1593" s="203">
        <v>43287</v>
      </c>
      <c r="C1593" s="202">
        <v>7.2742459999999998</v>
      </c>
      <c r="D1593" s="202">
        <v>1.826298</v>
      </c>
    </row>
    <row r="1594" spans="2:4" ht="13.25" customHeight="1">
      <c r="B1594" s="203">
        <v>43290</v>
      </c>
      <c r="C1594" s="202">
        <v>7.1706810000000001</v>
      </c>
      <c r="D1594" s="202">
        <v>1.5163770000000001</v>
      </c>
    </row>
    <row r="1595" spans="2:4" ht="13.25" customHeight="1">
      <c r="B1595" s="203">
        <v>43291</v>
      </c>
      <c r="C1595" s="202">
        <v>7.1657489999999999</v>
      </c>
      <c r="D1595" s="202">
        <v>2.2773059999999998</v>
      </c>
    </row>
    <row r="1596" spans="2:4" ht="13.25" customHeight="1">
      <c r="B1596" s="203">
        <v>43292</v>
      </c>
      <c r="C1596" s="202">
        <v>7.2594510000000003</v>
      </c>
      <c r="D1596" s="202">
        <v>1.624922</v>
      </c>
    </row>
    <row r="1597" spans="2:4" ht="13.25" customHeight="1">
      <c r="B1597" s="203">
        <v>43293</v>
      </c>
      <c r="C1597" s="202">
        <v>7.2150650000000001</v>
      </c>
      <c r="D1597" s="202">
        <v>1.6305000000000001</v>
      </c>
    </row>
    <row r="1598" spans="2:4" ht="13.25" customHeight="1">
      <c r="B1598" s="203">
        <v>43294</v>
      </c>
      <c r="C1598" s="202">
        <v>7.1558859999999997</v>
      </c>
      <c r="D1598" s="202">
        <v>1.5768310000000001</v>
      </c>
    </row>
    <row r="1599" spans="2:4" ht="13.25" customHeight="1">
      <c r="B1599" s="203">
        <v>43297</v>
      </c>
      <c r="C1599" s="202">
        <v>7.2643829999999996</v>
      </c>
      <c r="D1599" s="202">
        <v>1.3431040000000001</v>
      </c>
    </row>
    <row r="1600" spans="2:4" ht="13.25" customHeight="1">
      <c r="B1600" s="203">
        <v>43298</v>
      </c>
      <c r="C1600" s="202">
        <v>7.2989050000000004</v>
      </c>
      <c r="D1600" s="202">
        <v>1.340732</v>
      </c>
    </row>
    <row r="1601" spans="2:4" ht="13.25" customHeight="1">
      <c r="B1601" s="203">
        <v>43299</v>
      </c>
      <c r="C1601" s="202">
        <v>7.3482209999999997</v>
      </c>
      <c r="D1601" s="202">
        <v>1.401127</v>
      </c>
    </row>
    <row r="1602" spans="2:4" ht="13.25" customHeight="1">
      <c r="B1602" s="203">
        <v>43300</v>
      </c>
      <c r="C1602" s="202">
        <v>7.4320599999999999</v>
      </c>
      <c r="D1602" s="202">
        <v>2.0267170000000001</v>
      </c>
    </row>
    <row r="1603" spans="2:4" ht="13.25" customHeight="1">
      <c r="B1603" s="203">
        <v>43301</v>
      </c>
      <c r="C1603" s="202">
        <v>7.5405569999999997</v>
      </c>
      <c r="D1603" s="202">
        <v>2.1697169999999999</v>
      </c>
    </row>
    <row r="1604" spans="2:4" ht="13.25" customHeight="1">
      <c r="B1604" s="203">
        <v>43304</v>
      </c>
      <c r="C1604" s="202">
        <v>7.476445</v>
      </c>
      <c r="D1604" s="202">
        <v>1.420623</v>
      </c>
    </row>
    <row r="1605" spans="2:4" ht="13.25" customHeight="1">
      <c r="B1605" s="203">
        <v>43305</v>
      </c>
      <c r="C1605" s="202">
        <v>7.4961719999999996</v>
      </c>
      <c r="D1605" s="202">
        <v>1.537617</v>
      </c>
    </row>
    <row r="1606" spans="2:4" ht="13.25" customHeight="1">
      <c r="B1606" s="203">
        <v>43306</v>
      </c>
      <c r="C1606" s="202">
        <v>7.5356259999999997</v>
      </c>
      <c r="D1606" s="202">
        <v>1.617402</v>
      </c>
    </row>
    <row r="1607" spans="2:4" ht="13.25" customHeight="1">
      <c r="B1607" s="203">
        <v>43307</v>
      </c>
      <c r="C1607" s="202">
        <v>7.3778110000000003</v>
      </c>
      <c r="D1607" s="202">
        <v>2.9316620000000002</v>
      </c>
    </row>
    <row r="1608" spans="2:4" ht="13.25" customHeight="1">
      <c r="B1608" s="203">
        <v>43308</v>
      </c>
      <c r="C1608" s="202">
        <v>7.2989050000000004</v>
      </c>
      <c r="D1608" s="202">
        <v>2.3197830000000002</v>
      </c>
    </row>
    <row r="1609" spans="2:4" ht="13.25" customHeight="1">
      <c r="B1609" s="203">
        <v>43311</v>
      </c>
      <c r="C1609" s="202">
        <v>7.1953389999999997</v>
      </c>
      <c r="D1609" s="202">
        <v>2.0342530000000001</v>
      </c>
    </row>
    <row r="1610" spans="2:4" ht="13.25" customHeight="1">
      <c r="B1610" s="203">
        <v>43312</v>
      </c>
      <c r="C1610" s="202">
        <v>7.1115000000000004</v>
      </c>
      <c r="D1610" s="202">
        <v>2.8286289999999998</v>
      </c>
    </row>
    <row r="1611" spans="2:4" ht="13.25" customHeight="1">
      <c r="B1611" s="203">
        <v>43313</v>
      </c>
      <c r="C1611" s="202">
        <v>7.249587</v>
      </c>
      <c r="D1611" s="202">
        <v>5.8846170000000004</v>
      </c>
    </row>
    <row r="1612" spans="2:4" ht="13.25" customHeight="1">
      <c r="B1612" s="203">
        <v>43314</v>
      </c>
      <c r="C1612" s="202">
        <v>7.2545190000000002</v>
      </c>
      <c r="D1612" s="202">
        <v>2.1299619999999999</v>
      </c>
    </row>
    <row r="1613" spans="2:4" ht="13.25" customHeight="1">
      <c r="B1613" s="203">
        <v>43315</v>
      </c>
      <c r="C1613" s="202">
        <v>7.1657489999999999</v>
      </c>
      <c r="D1613" s="202">
        <v>2.6095709999999999</v>
      </c>
    </row>
    <row r="1614" spans="2:4" ht="13.25" customHeight="1">
      <c r="B1614" s="203">
        <v>43318</v>
      </c>
      <c r="C1614" s="202">
        <v>7.3136999999999999</v>
      </c>
      <c r="D1614" s="202">
        <v>1.960572</v>
      </c>
    </row>
    <row r="1615" spans="2:4" ht="13.25" customHeight="1">
      <c r="B1615" s="203">
        <v>43319</v>
      </c>
      <c r="C1615" s="202">
        <v>7.2249290000000004</v>
      </c>
      <c r="D1615" s="202">
        <v>1.315194</v>
      </c>
    </row>
    <row r="1616" spans="2:4" ht="13.25" customHeight="1">
      <c r="B1616" s="203">
        <v>43320</v>
      </c>
      <c r="C1616" s="202">
        <v>7.2397239999999998</v>
      </c>
      <c r="D1616" s="202">
        <v>1.1476729999999999</v>
      </c>
    </row>
    <row r="1617" spans="2:4" ht="13.25" customHeight="1">
      <c r="B1617" s="203">
        <v>43321</v>
      </c>
      <c r="C1617" s="202">
        <v>7.2890410000000001</v>
      </c>
      <c r="D1617" s="202">
        <v>1.1820660000000001</v>
      </c>
    </row>
    <row r="1618" spans="2:4" ht="13.25" customHeight="1">
      <c r="B1618" s="203">
        <v>43322</v>
      </c>
      <c r="C1618" s="202">
        <v>7.1558859999999997</v>
      </c>
      <c r="D1618" s="202">
        <v>1.517245</v>
      </c>
    </row>
    <row r="1619" spans="2:4" ht="13.25" customHeight="1">
      <c r="B1619" s="203">
        <v>43325</v>
      </c>
      <c r="C1619" s="202">
        <v>7.2693139999999996</v>
      </c>
      <c r="D1619" s="202">
        <v>1.096573</v>
      </c>
    </row>
    <row r="1620" spans="2:4" ht="13.25" customHeight="1">
      <c r="B1620" s="203">
        <v>43326</v>
      </c>
      <c r="C1620" s="202">
        <v>7.3284950000000002</v>
      </c>
      <c r="D1620" s="202">
        <v>1.6428860000000001</v>
      </c>
    </row>
    <row r="1621" spans="2:4" ht="13.25" customHeight="1">
      <c r="B1621" s="203">
        <v>43328</v>
      </c>
      <c r="C1621" s="202">
        <v>7.4419240000000002</v>
      </c>
      <c r="D1621" s="202">
        <v>1.7299899999999999</v>
      </c>
    </row>
    <row r="1622" spans="2:4" ht="13.25" customHeight="1">
      <c r="B1622" s="203">
        <v>43329</v>
      </c>
      <c r="C1622" s="202">
        <v>7.4665819999999998</v>
      </c>
      <c r="D1622" s="202">
        <v>2.0799989999999999</v>
      </c>
    </row>
    <row r="1623" spans="2:4" ht="13.25" customHeight="1">
      <c r="B1623" s="203">
        <v>43332</v>
      </c>
      <c r="C1623" s="202">
        <v>7.6786450000000004</v>
      </c>
      <c r="D1623" s="202">
        <v>3.9758770000000001</v>
      </c>
    </row>
    <row r="1624" spans="2:4" ht="13.25" customHeight="1">
      <c r="B1624" s="203">
        <v>43333</v>
      </c>
      <c r="C1624" s="202">
        <v>7.5553530000000002</v>
      </c>
      <c r="D1624" s="202">
        <v>3.1696529999999998</v>
      </c>
    </row>
    <row r="1625" spans="2:4" ht="13.25" customHeight="1">
      <c r="B1625" s="203">
        <v>43334</v>
      </c>
      <c r="C1625" s="202">
        <v>7.5208310000000003</v>
      </c>
      <c r="D1625" s="202">
        <v>1.6876230000000001</v>
      </c>
    </row>
    <row r="1626" spans="2:4" ht="13.25" customHeight="1">
      <c r="B1626" s="203">
        <v>43335</v>
      </c>
      <c r="C1626" s="202">
        <v>7.5011039999999998</v>
      </c>
      <c r="D1626" s="202">
        <v>1.2326619999999999</v>
      </c>
    </row>
    <row r="1627" spans="2:4" ht="13.25" customHeight="1">
      <c r="B1627" s="203">
        <v>43336</v>
      </c>
      <c r="C1627" s="202">
        <v>7.5306940000000004</v>
      </c>
      <c r="D1627" s="202">
        <v>1.368684</v>
      </c>
    </row>
    <row r="1628" spans="2:4" ht="13.25" customHeight="1">
      <c r="B1628" s="203">
        <v>43339</v>
      </c>
      <c r="C1628" s="202">
        <v>7.5652160000000004</v>
      </c>
      <c r="D1628" s="202">
        <v>1.6713450000000001</v>
      </c>
    </row>
    <row r="1629" spans="2:4" ht="13.25" customHeight="1">
      <c r="B1629" s="203">
        <v>43340</v>
      </c>
      <c r="C1629" s="202">
        <v>7.436992</v>
      </c>
      <c r="D1629" s="202">
        <v>1.8133520000000001</v>
      </c>
    </row>
    <row r="1630" spans="2:4" ht="13.25" customHeight="1">
      <c r="B1630" s="203">
        <v>43341</v>
      </c>
      <c r="C1630" s="202">
        <v>7.5011039999999998</v>
      </c>
      <c r="D1630" s="202">
        <v>1.6538539999999999</v>
      </c>
    </row>
    <row r="1631" spans="2:4" ht="13.25" customHeight="1">
      <c r="B1631" s="203">
        <v>43342</v>
      </c>
      <c r="C1631" s="202">
        <v>7.5109669999999999</v>
      </c>
      <c r="D1631" s="202">
        <v>1.6626000000000001</v>
      </c>
    </row>
    <row r="1632" spans="2:4" ht="13.25" customHeight="1">
      <c r="B1632" s="203">
        <v>43343</v>
      </c>
      <c r="C1632" s="202">
        <v>7.5208310000000003</v>
      </c>
      <c r="D1632" s="202">
        <v>1.948939</v>
      </c>
    </row>
    <row r="1633" spans="2:4" ht="13.25" customHeight="1">
      <c r="B1633" s="203">
        <v>43346</v>
      </c>
      <c r="C1633" s="202">
        <v>7.5652160000000004</v>
      </c>
      <c r="D1633" s="202">
        <v>1.402973</v>
      </c>
    </row>
    <row r="1634" spans="2:4" ht="13.25" customHeight="1">
      <c r="B1634" s="203">
        <v>43347</v>
      </c>
      <c r="C1634" s="202">
        <v>7.4961719999999996</v>
      </c>
      <c r="D1634" s="202">
        <v>1.852638</v>
      </c>
    </row>
    <row r="1635" spans="2:4" ht="13.25" customHeight="1">
      <c r="B1635" s="203">
        <v>43348</v>
      </c>
      <c r="C1635" s="202">
        <v>7.3778110000000003</v>
      </c>
      <c r="D1635" s="202">
        <v>1.985706</v>
      </c>
    </row>
    <row r="1636" spans="2:4" ht="13.25" customHeight="1">
      <c r="B1636" s="203">
        <v>43349</v>
      </c>
      <c r="C1636" s="202">
        <v>7.3087679999999997</v>
      </c>
      <c r="D1636" s="202">
        <v>1.8960950000000001</v>
      </c>
    </row>
    <row r="1637" spans="2:4" ht="13.25" customHeight="1">
      <c r="B1637" s="203">
        <v>43350</v>
      </c>
      <c r="C1637" s="202">
        <v>7.358085</v>
      </c>
      <c r="D1637" s="202">
        <v>1.7401789999999999</v>
      </c>
    </row>
    <row r="1638" spans="2:4" ht="13.25" customHeight="1">
      <c r="B1638" s="203">
        <v>43353</v>
      </c>
      <c r="C1638" s="202">
        <v>7.4024700000000001</v>
      </c>
      <c r="D1638" s="202">
        <v>1.807904</v>
      </c>
    </row>
    <row r="1639" spans="2:4" ht="13.25" customHeight="1">
      <c r="B1639" s="203">
        <v>43354</v>
      </c>
      <c r="C1639" s="202">
        <v>7.4221969999999997</v>
      </c>
      <c r="D1639" s="202">
        <v>1.1183149999999999</v>
      </c>
    </row>
    <row r="1640" spans="2:4" ht="13.25" customHeight="1">
      <c r="B1640" s="203">
        <v>43355</v>
      </c>
      <c r="C1640" s="202">
        <v>7.5011039999999998</v>
      </c>
      <c r="D1640" s="202">
        <v>1.422974</v>
      </c>
    </row>
    <row r="1641" spans="2:4" ht="13.25" customHeight="1">
      <c r="B1641" s="203">
        <v>43356</v>
      </c>
      <c r="C1641" s="202">
        <v>7.1558859999999997</v>
      </c>
      <c r="D1641" s="202">
        <v>3.4973920000000001</v>
      </c>
    </row>
    <row r="1642" spans="2:4" ht="13.25" customHeight="1">
      <c r="B1642" s="203">
        <v>43357</v>
      </c>
      <c r="C1642" s="202">
        <v>7.2643829999999996</v>
      </c>
      <c r="D1642" s="202">
        <v>2.0405389999999999</v>
      </c>
    </row>
    <row r="1643" spans="2:4" ht="13.25" customHeight="1">
      <c r="B1643" s="203">
        <v>43360</v>
      </c>
      <c r="C1643" s="202">
        <v>7.249587</v>
      </c>
      <c r="D1643" s="202">
        <v>1.4160219999999999</v>
      </c>
    </row>
    <row r="1644" spans="2:4" ht="13.25" customHeight="1">
      <c r="B1644" s="203">
        <v>43361</v>
      </c>
      <c r="C1644" s="202">
        <v>7.249587</v>
      </c>
      <c r="D1644" s="202">
        <v>1.2590840000000001</v>
      </c>
    </row>
    <row r="1645" spans="2:4" ht="13.25" customHeight="1">
      <c r="B1645" s="203">
        <v>43362</v>
      </c>
      <c r="C1645" s="202">
        <v>7.1460220000000003</v>
      </c>
      <c r="D1645" s="202">
        <v>2.2318709999999999</v>
      </c>
    </row>
    <row r="1646" spans="2:4" ht="13.25" customHeight="1">
      <c r="B1646" s="203">
        <v>43363</v>
      </c>
      <c r="C1646" s="202">
        <v>7.1558859999999997</v>
      </c>
      <c r="D1646" s="202">
        <v>3.2637930000000002</v>
      </c>
    </row>
    <row r="1647" spans="2:4" ht="13.25" customHeight="1">
      <c r="B1647" s="203">
        <v>43364</v>
      </c>
      <c r="C1647" s="202">
        <v>7.1460220000000003</v>
      </c>
      <c r="D1647" s="202">
        <v>2.643268</v>
      </c>
    </row>
    <row r="1648" spans="2:4" ht="13.25" customHeight="1">
      <c r="B1648" s="203">
        <v>43367</v>
      </c>
      <c r="C1648" s="202">
        <v>7.0720470000000004</v>
      </c>
      <c r="D1648" s="202">
        <v>1.5435559999999999</v>
      </c>
    </row>
    <row r="1649" spans="2:4" ht="13.25" customHeight="1">
      <c r="B1649" s="203">
        <v>43368</v>
      </c>
      <c r="C1649" s="202">
        <v>7.1904070000000004</v>
      </c>
      <c r="D1649" s="202">
        <v>1.8537950000000001</v>
      </c>
    </row>
    <row r="1650" spans="2:4" ht="13.25" customHeight="1">
      <c r="B1650" s="203">
        <v>43369</v>
      </c>
      <c r="C1650" s="202">
        <v>7.2742459999999998</v>
      </c>
      <c r="D1650" s="202">
        <v>1.5034430000000001</v>
      </c>
    </row>
    <row r="1651" spans="2:4" ht="13.25" customHeight="1">
      <c r="B1651" s="203">
        <v>43370</v>
      </c>
      <c r="C1651" s="202">
        <v>7.318632</v>
      </c>
      <c r="D1651" s="202">
        <v>1.9080520000000001</v>
      </c>
    </row>
    <row r="1652" spans="2:4" ht="13.25" customHeight="1">
      <c r="B1652" s="203">
        <v>43371</v>
      </c>
      <c r="C1652" s="202">
        <v>7.2347919999999997</v>
      </c>
      <c r="D1652" s="202">
        <v>2.8167710000000001</v>
      </c>
    </row>
    <row r="1653" spans="2:4" ht="13.25" customHeight="1">
      <c r="B1653" s="203">
        <v>43374</v>
      </c>
      <c r="C1653" s="202">
        <v>7.3827429999999996</v>
      </c>
      <c r="D1653" s="202">
        <v>2.130309</v>
      </c>
    </row>
    <row r="1654" spans="2:4" ht="13.25" customHeight="1">
      <c r="B1654" s="203">
        <v>43375</v>
      </c>
      <c r="C1654" s="202">
        <v>7.2989050000000004</v>
      </c>
      <c r="D1654" s="202">
        <v>1.5229550000000001</v>
      </c>
    </row>
    <row r="1655" spans="2:4" ht="13.25" customHeight="1">
      <c r="B1655" s="203">
        <v>43376</v>
      </c>
      <c r="C1655" s="202">
        <v>7.2989050000000004</v>
      </c>
      <c r="D1655" s="202">
        <v>1.482766</v>
      </c>
    </row>
    <row r="1656" spans="2:4" ht="13.25" customHeight="1">
      <c r="B1656" s="203">
        <v>43377</v>
      </c>
      <c r="C1656" s="202">
        <v>7.1213639999999998</v>
      </c>
      <c r="D1656" s="202">
        <v>2.2858589999999999</v>
      </c>
    </row>
    <row r="1657" spans="2:4" ht="13.25" customHeight="1">
      <c r="B1657" s="203">
        <v>43378</v>
      </c>
      <c r="C1657" s="202">
        <v>6.9438219999999999</v>
      </c>
      <c r="D1657" s="202">
        <v>3.8066789999999999</v>
      </c>
    </row>
    <row r="1658" spans="2:4" ht="13.25" customHeight="1">
      <c r="B1658" s="203">
        <v>43381</v>
      </c>
      <c r="C1658" s="202">
        <v>6.8747790000000002</v>
      </c>
      <c r="D1658" s="202">
        <v>1.749106</v>
      </c>
    </row>
    <row r="1659" spans="2:4" ht="13.25" customHeight="1">
      <c r="B1659" s="203">
        <v>43382</v>
      </c>
      <c r="C1659" s="202">
        <v>6.8945059999999998</v>
      </c>
      <c r="D1659" s="202">
        <v>2.004407</v>
      </c>
    </row>
    <row r="1660" spans="2:4" ht="13.25" customHeight="1">
      <c r="B1660" s="203">
        <v>43383</v>
      </c>
      <c r="C1660" s="202">
        <v>6.5542189999999998</v>
      </c>
      <c r="D1660" s="202">
        <v>3.0171760000000001</v>
      </c>
    </row>
    <row r="1661" spans="2:4" ht="13.25" customHeight="1">
      <c r="B1661" s="203">
        <v>43384</v>
      </c>
      <c r="C1661" s="202">
        <v>6.416131</v>
      </c>
      <c r="D1661" s="202">
        <v>3.4989249999999998</v>
      </c>
    </row>
    <row r="1662" spans="2:4" ht="13.25" customHeight="1">
      <c r="B1662" s="203">
        <v>43385</v>
      </c>
      <c r="C1662" s="202">
        <v>6.3322929999999999</v>
      </c>
      <c r="D1662" s="202">
        <v>3.2969659999999998</v>
      </c>
    </row>
    <row r="1663" spans="2:4" ht="13.25" customHeight="1">
      <c r="B1663" s="203">
        <v>43388</v>
      </c>
      <c r="C1663" s="202">
        <v>6.2632490000000001</v>
      </c>
      <c r="D1663" s="202">
        <v>2.4549280000000002</v>
      </c>
    </row>
    <row r="1664" spans="2:4" ht="13.25" customHeight="1">
      <c r="B1664" s="203">
        <v>43389</v>
      </c>
      <c r="C1664" s="202">
        <v>6.4358579999999996</v>
      </c>
      <c r="D1664" s="202">
        <v>2.6815000000000002</v>
      </c>
    </row>
    <row r="1665" spans="2:4" ht="13.25" customHeight="1">
      <c r="B1665" s="203">
        <v>43390</v>
      </c>
      <c r="C1665" s="202">
        <v>6.5394240000000003</v>
      </c>
      <c r="D1665" s="202">
        <v>3.6178469999999998</v>
      </c>
    </row>
    <row r="1666" spans="2:4" ht="13.25" customHeight="1">
      <c r="B1666" s="203">
        <v>43391</v>
      </c>
      <c r="C1666" s="202">
        <v>6.4950390000000002</v>
      </c>
      <c r="D1666" s="202">
        <v>1.7019310000000001</v>
      </c>
    </row>
    <row r="1667" spans="2:4" ht="13.25" customHeight="1">
      <c r="B1667" s="203">
        <v>43392</v>
      </c>
      <c r="C1667" s="202">
        <v>6.559151</v>
      </c>
      <c r="D1667" s="202">
        <v>2.3851650000000002</v>
      </c>
    </row>
    <row r="1668" spans="2:4" ht="13.25" customHeight="1">
      <c r="B1668" s="203">
        <v>43395</v>
      </c>
      <c r="C1668" s="202">
        <v>6.5690140000000001</v>
      </c>
      <c r="D1668" s="202">
        <v>1.4205719999999999</v>
      </c>
    </row>
    <row r="1669" spans="2:4" ht="13.25" customHeight="1">
      <c r="B1669" s="203">
        <v>43396</v>
      </c>
      <c r="C1669" s="202">
        <v>6.3421560000000001</v>
      </c>
      <c r="D1669" s="202">
        <v>1.9738629999999999</v>
      </c>
    </row>
    <row r="1670" spans="2:4" ht="13.25" customHeight="1">
      <c r="B1670" s="203">
        <v>43397</v>
      </c>
      <c r="C1670" s="202">
        <v>6.371747</v>
      </c>
      <c r="D1670" s="202">
        <v>1.8329960000000001</v>
      </c>
    </row>
    <row r="1671" spans="2:4" ht="13.25" customHeight="1">
      <c r="B1671" s="203">
        <v>43398</v>
      </c>
      <c r="C1671" s="202">
        <v>6.6133990000000002</v>
      </c>
      <c r="D1671" s="202">
        <v>3.3300230000000002</v>
      </c>
    </row>
    <row r="1672" spans="2:4" ht="13.25" customHeight="1">
      <c r="B1672" s="203">
        <v>43399</v>
      </c>
      <c r="C1672" s="202">
        <v>6.5295610000000002</v>
      </c>
      <c r="D1672" s="202">
        <v>2.7295530000000001</v>
      </c>
    </row>
    <row r="1673" spans="2:4" ht="13.25" customHeight="1">
      <c r="B1673" s="203">
        <v>43402</v>
      </c>
      <c r="C1673" s="202">
        <v>6.5295610000000002</v>
      </c>
      <c r="D1673" s="202">
        <v>1.8439810000000001</v>
      </c>
    </row>
    <row r="1674" spans="2:4" ht="13.25" customHeight="1">
      <c r="B1674" s="203">
        <v>43403</v>
      </c>
      <c r="C1674" s="202">
        <v>6.5788770000000003</v>
      </c>
      <c r="D1674" s="202">
        <v>1.2264630000000001</v>
      </c>
    </row>
    <row r="1675" spans="2:4" ht="13.25" customHeight="1">
      <c r="B1675" s="203">
        <v>43404</v>
      </c>
      <c r="C1675" s="202">
        <v>6.7021699999999997</v>
      </c>
      <c r="D1675" s="202">
        <v>2.5599310000000002</v>
      </c>
    </row>
    <row r="1676" spans="2:4" ht="13.25" customHeight="1">
      <c r="B1676" s="203">
        <v>43405</v>
      </c>
      <c r="C1676" s="202">
        <v>6.6972379999999996</v>
      </c>
      <c r="D1676" s="202">
        <v>1.5108969999999999</v>
      </c>
    </row>
    <row r="1677" spans="2:4" ht="13.25" customHeight="1">
      <c r="B1677" s="203">
        <v>43406</v>
      </c>
      <c r="C1677" s="202">
        <v>6.6577840000000004</v>
      </c>
      <c r="D1677" s="202">
        <v>1.4350449999999999</v>
      </c>
    </row>
    <row r="1678" spans="2:4" ht="13.25" customHeight="1">
      <c r="B1678" s="203">
        <v>43409</v>
      </c>
      <c r="C1678" s="202">
        <v>6.7613500000000002</v>
      </c>
      <c r="D1678" s="202">
        <v>1.88513</v>
      </c>
    </row>
    <row r="1679" spans="2:4" ht="13.25" customHeight="1">
      <c r="B1679" s="203">
        <v>43410</v>
      </c>
      <c r="C1679" s="202">
        <v>7.0079349999999998</v>
      </c>
      <c r="D1679" s="202">
        <v>6.2835349999999996</v>
      </c>
    </row>
    <row r="1680" spans="2:4" ht="13.25" customHeight="1">
      <c r="B1680" s="203">
        <v>43411</v>
      </c>
      <c r="C1680" s="202">
        <v>7.2594510000000003</v>
      </c>
      <c r="D1680" s="202">
        <v>4.3665149999999997</v>
      </c>
    </row>
    <row r="1681" spans="2:4" ht="13.25" customHeight="1">
      <c r="B1681" s="203">
        <v>43412</v>
      </c>
      <c r="C1681" s="202">
        <v>7.2347919999999997</v>
      </c>
      <c r="D1681" s="202">
        <v>2.656517</v>
      </c>
    </row>
    <row r="1682" spans="2:4" ht="13.25" customHeight="1">
      <c r="B1682" s="203">
        <v>43413</v>
      </c>
      <c r="C1682" s="202">
        <v>7.3334260000000002</v>
      </c>
      <c r="D1682" s="202">
        <v>2.1750759999999998</v>
      </c>
    </row>
    <row r="1683" spans="2:4" ht="13.25" customHeight="1">
      <c r="B1683" s="203">
        <v>43416</v>
      </c>
      <c r="C1683" s="202">
        <v>7.3630170000000001</v>
      </c>
      <c r="D1683" s="202">
        <v>3.1031230000000001</v>
      </c>
    </row>
    <row r="1684" spans="2:4" ht="13.25" customHeight="1">
      <c r="B1684" s="203">
        <v>43417</v>
      </c>
      <c r="C1684" s="202">
        <v>7.5553530000000002</v>
      </c>
      <c r="D1684" s="202">
        <v>3.5134430000000001</v>
      </c>
    </row>
    <row r="1685" spans="2:4" ht="13.25" customHeight="1">
      <c r="B1685" s="203">
        <v>43418</v>
      </c>
      <c r="C1685" s="202">
        <v>7.3728800000000003</v>
      </c>
      <c r="D1685" s="202">
        <v>2.7016209999999998</v>
      </c>
    </row>
    <row r="1686" spans="2:4" ht="13.25" customHeight="1">
      <c r="B1686" s="203">
        <v>43419</v>
      </c>
      <c r="C1686" s="202">
        <v>7.4024700000000001</v>
      </c>
      <c r="D1686" s="202">
        <v>2.1985920000000001</v>
      </c>
    </row>
    <row r="1687" spans="2:4" ht="13.25" customHeight="1">
      <c r="B1687" s="203">
        <v>43420</v>
      </c>
      <c r="C1687" s="202">
        <v>7.584943</v>
      </c>
      <c r="D1687" s="202">
        <v>2.546729</v>
      </c>
    </row>
    <row r="1688" spans="2:4" ht="13.25" customHeight="1">
      <c r="B1688" s="203">
        <v>43423</v>
      </c>
      <c r="C1688" s="202">
        <v>7.5750789999999997</v>
      </c>
      <c r="D1688" s="202">
        <v>2.6126969999999998</v>
      </c>
    </row>
    <row r="1689" spans="2:4" ht="13.25" customHeight="1">
      <c r="B1689" s="203">
        <v>43424</v>
      </c>
      <c r="C1689" s="202">
        <v>7.3679480000000002</v>
      </c>
      <c r="D1689" s="202">
        <v>2.8660160000000001</v>
      </c>
    </row>
    <row r="1690" spans="2:4" ht="13.25" customHeight="1">
      <c r="B1690" s="203">
        <v>43425</v>
      </c>
      <c r="C1690" s="202">
        <v>7.2841100000000001</v>
      </c>
      <c r="D1690" s="202">
        <v>3.3379919999999998</v>
      </c>
    </row>
    <row r="1691" spans="2:4" ht="13.25" customHeight="1">
      <c r="B1691" s="203">
        <v>43426</v>
      </c>
      <c r="C1691" s="202">
        <v>7.249587</v>
      </c>
      <c r="D1691" s="202">
        <v>2.2398739999999999</v>
      </c>
    </row>
    <row r="1692" spans="2:4" ht="13.25" customHeight="1">
      <c r="B1692" s="203">
        <v>43427</v>
      </c>
      <c r="C1692" s="202">
        <v>7.4074020000000003</v>
      </c>
      <c r="D1692" s="202">
        <v>2.4772479999999999</v>
      </c>
    </row>
    <row r="1693" spans="2:4" ht="13.25" customHeight="1">
      <c r="B1693" s="203">
        <v>43430</v>
      </c>
      <c r="C1693" s="202">
        <v>7.3482209999999997</v>
      </c>
      <c r="D1693" s="202">
        <v>2.0607730000000002</v>
      </c>
    </row>
    <row r="1694" spans="2:4" ht="13.25" customHeight="1">
      <c r="B1694" s="203">
        <v>43431</v>
      </c>
      <c r="C1694" s="202">
        <v>7.2939730000000003</v>
      </c>
      <c r="D1694" s="202">
        <v>2.0782050000000001</v>
      </c>
    </row>
    <row r="1695" spans="2:4" ht="13.25" customHeight="1">
      <c r="B1695" s="203">
        <v>43432</v>
      </c>
      <c r="C1695" s="202">
        <v>7.249587</v>
      </c>
      <c r="D1695" s="202">
        <v>1.5161929999999999</v>
      </c>
    </row>
    <row r="1696" spans="2:4" ht="13.25" customHeight="1">
      <c r="B1696" s="203">
        <v>43433</v>
      </c>
      <c r="C1696" s="202">
        <v>7.2150650000000001</v>
      </c>
      <c r="D1696" s="202">
        <v>1.876422</v>
      </c>
    </row>
    <row r="1697" spans="2:4" ht="13.25" customHeight="1">
      <c r="B1697" s="203">
        <v>43434</v>
      </c>
      <c r="C1697" s="202">
        <v>7.2791779999999999</v>
      </c>
      <c r="D1697" s="202">
        <v>2.011266</v>
      </c>
    </row>
    <row r="1698" spans="2:4" ht="13.25" customHeight="1">
      <c r="B1698" s="203">
        <v>43437</v>
      </c>
      <c r="C1698" s="202">
        <v>7.2989050000000004</v>
      </c>
      <c r="D1698" s="202">
        <v>1.752596</v>
      </c>
    </row>
    <row r="1699" spans="2:4" ht="13.25" customHeight="1">
      <c r="B1699" s="203">
        <v>43438</v>
      </c>
      <c r="C1699" s="202">
        <v>7.3630170000000001</v>
      </c>
      <c r="D1699" s="202">
        <v>1.8981380000000001</v>
      </c>
    </row>
    <row r="1700" spans="2:4" ht="13.25" customHeight="1">
      <c r="B1700" s="203">
        <v>43439</v>
      </c>
      <c r="C1700" s="202">
        <v>7.4271289999999999</v>
      </c>
      <c r="D1700" s="202">
        <v>3.00285</v>
      </c>
    </row>
    <row r="1701" spans="2:4" ht="13.25" customHeight="1">
      <c r="B1701" s="203">
        <v>43440</v>
      </c>
      <c r="C1701" s="202">
        <v>7.3679480000000002</v>
      </c>
      <c r="D1701" s="202">
        <v>3.3527819999999999</v>
      </c>
    </row>
    <row r="1702" spans="2:4" ht="13.25" customHeight="1">
      <c r="B1702" s="203">
        <v>43441</v>
      </c>
      <c r="C1702" s="202">
        <v>7.624396</v>
      </c>
      <c r="D1702" s="202">
        <v>3.4155229999999999</v>
      </c>
    </row>
    <row r="1703" spans="2:4" ht="13.25" customHeight="1">
      <c r="B1703" s="203">
        <v>43444</v>
      </c>
      <c r="C1703" s="202">
        <v>7.4271289999999999</v>
      </c>
      <c r="D1703" s="202">
        <v>2.2500330000000002</v>
      </c>
    </row>
    <row r="1704" spans="2:4" ht="13.25" customHeight="1">
      <c r="B1704" s="203">
        <v>43445</v>
      </c>
      <c r="C1704" s="202">
        <v>7.3975379999999999</v>
      </c>
      <c r="D1704" s="202">
        <v>1.5899939999999999</v>
      </c>
    </row>
    <row r="1705" spans="2:4" ht="13.25" customHeight="1">
      <c r="B1705" s="203">
        <v>43446</v>
      </c>
      <c r="C1705" s="202">
        <v>7.4616499999999997</v>
      </c>
      <c r="D1705" s="202">
        <v>1.8860220000000001</v>
      </c>
    </row>
    <row r="1706" spans="2:4" ht="13.25" customHeight="1">
      <c r="B1706" s="203">
        <v>43447</v>
      </c>
      <c r="C1706" s="202">
        <v>7.584943</v>
      </c>
      <c r="D1706" s="202">
        <v>1.568913</v>
      </c>
    </row>
    <row r="1707" spans="2:4" ht="13.25" customHeight="1">
      <c r="B1707" s="203">
        <v>43448</v>
      </c>
      <c r="C1707" s="202">
        <v>7.5800109999999998</v>
      </c>
      <c r="D1707" s="202">
        <v>1.2823530000000001</v>
      </c>
    </row>
    <row r="1708" spans="2:4" ht="13.25" customHeight="1">
      <c r="B1708" s="203">
        <v>43451</v>
      </c>
      <c r="C1708" s="202">
        <v>7.476445</v>
      </c>
      <c r="D1708" s="202">
        <v>1.581256</v>
      </c>
    </row>
    <row r="1709" spans="2:4" ht="13.25" customHeight="1">
      <c r="B1709" s="203">
        <v>43452</v>
      </c>
      <c r="C1709" s="202">
        <v>7.3432899999999997</v>
      </c>
      <c r="D1709" s="202">
        <v>2.1946650000000001</v>
      </c>
    </row>
    <row r="1710" spans="2:4" ht="13.25" customHeight="1">
      <c r="B1710" s="203">
        <v>43453</v>
      </c>
      <c r="C1710" s="202">
        <v>7.5800109999999998</v>
      </c>
      <c r="D1710" s="202">
        <v>2.8856999999999999</v>
      </c>
    </row>
    <row r="1711" spans="2:4" ht="13.25" customHeight="1">
      <c r="B1711" s="203">
        <v>43454</v>
      </c>
      <c r="C1711" s="202">
        <v>7.5356259999999997</v>
      </c>
      <c r="D1711" s="202">
        <v>2.3443879999999999</v>
      </c>
    </row>
    <row r="1712" spans="2:4" ht="13.25" customHeight="1">
      <c r="B1712" s="203">
        <v>43455</v>
      </c>
      <c r="C1712" s="202">
        <v>7.3630170000000001</v>
      </c>
      <c r="D1712" s="202">
        <v>3.1862119999999998</v>
      </c>
    </row>
    <row r="1713" spans="2:4" ht="13.25" customHeight="1">
      <c r="B1713" s="203">
        <v>43461</v>
      </c>
      <c r="C1713" s="202">
        <v>7.2298609999999996</v>
      </c>
      <c r="D1713" s="202">
        <v>1.5226999999999999</v>
      </c>
    </row>
    <row r="1714" spans="2:4" ht="13.25" customHeight="1">
      <c r="B1714" s="203">
        <v>43462</v>
      </c>
      <c r="C1714" s="202">
        <v>7.2841100000000001</v>
      </c>
      <c r="D1714" s="202">
        <v>1.1250340000000001</v>
      </c>
    </row>
    <row r="1715" spans="2:4" ht="13.25" customHeight="1">
      <c r="B1715" s="203">
        <v>43467</v>
      </c>
      <c r="C1715" s="202">
        <v>7.2693139999999996</v>
      </c>
      <c r="D1715" s="202">
        <v>1.860528</v>
      </c>
    </row>
    <row r="1716" spans="2:4" ht="13.25" customHeight="1">
      <c r="B1716" s="203">
        <v>43468</v>
      </c>
      <c r="C1716" s="202">
        <v>7.4271289999999999</v>
      </c>
      <c r="D1716" s="202">
        <v>1.9466619999999999</v>
      </c>
    </row>
    <row r="1717" spans="2:4" ht="13.25" customHeight="1">
      <c r="B1717" s="203">
        <v>43469</v>
      </c>
      <c r="C1717" s="202">
        <v>7.7131670000000003</v>
      </c>
      <c r="D1717" s="202">
        <v>2.7687879999999998</v>
      </c>
    </row>
    <row r="1718" spans="2:4" ht="13.25" customHeight="1">
      <c r="B1718" s="203">
        <v>43472</v>
      </c>
      <c r="C1718" s="202">
        <v>7.6441229999999996</v>
      </c>
      <c r="D1718" s="202">
        <v>1.816427</v>
      </c>
    </row>
    <row r="1719" spans="2:4" ht="13.25" customHeight="1">
      <c r="B1719" s="203">
        <v>43473</v>
      </c>
      <c r="C1719" s="202">
        <v>7.5898750000000001</v>
      </c>
      <c r="D1719" s="202">
        <v>1.6305670000000001</v>
      </c>
    </row>
    <row r="1720" spans="2:4" ht="13.25" customHeight="1">
      <c r="B1720" s="203">
        <v>43474</v>
      </c>
      <c r="C1720" s="202">
        <v>7.4024700000000001</v>
      </c>
      <c r="D1720" s="202">
        <v>3.5468890000000002</v>
      </c>
    </row>
    <row r="1721" spans="2:4" ht="13.25" customHeight="1">
      <c r="B1721" s="203">
        <v>43475</v>
      </c>
      <c r="C1721" s="202">
        <v>7.4715129999999998</v>
      </c>
      <c r="D1721" s="202">
        <v>1.749296</v>
      </c>
    </row>
    <row r="1722" spans="2:4" ht="13.25" customHeight="1">
      <c r="B1722" s="203">
        <v>43476</v>
      </c>
      <c r="C1722" s="202">
        <v>7.6441229999999996</v>
      </c>
      <c r="D1722" s="202">
        <v>2.7081179999999998</v>
      </c>
    </row>
    <row r="1723" spans="2:4" ht="13.25" customHeight="1">
      <c r="B1723" s="203">
        <v>43479</v>
      </c>
      <c r="C1723" s="202">
        <v>7.5997380000000003</v>
      </c>
      <c r="D1723" s="202">
        <v>1.3595820000000001</v>
      </c>
    </row>
    <row r="1724" spans="2:4" ht="13.25" customHeight="1">
      <c r="B1724" s="203">
        <v>43480</v>
      </c>
      <c r="C1724" s="202">
        <v>7.6145319999999996</v>
      </c>
      <c r="D1724" s="202">
        <v>1.255773</v>
      </c>
    </row>
    <row r="1725" spans="2:4" ht="13.25" customHeight="1">
      <c r="B1725" s="203">
        <v>43481</v>
      </c>
      <c r="C1725" s="202">
        <v>7.5109669999999999</v>
      </c>
      <c r="D1725" s="202">
        <v>2.1765400000000001</v>
      </c>
    </row>
    <row r="1726" spans="2:4" ht="13.25" customHeight="1">
      <c r="B1726" s="203">
        <v>43482</v>
      </c>
      <c r="C1726" s="202">
        <v>7.8216640000000002</v>
      </c>
      <c r="D1726" s="202">
        <v>2.7762349999999998</v>
      </c>
    </row>
    <row r="1727" spans="2:4" ht="13.25" customHeight="1">
      <c r="B1727" s="203">
        <v>43483</v>
      </c>
      <c r="C1727" s="202">
        <v>7.8759129999999997</v>
      </c>
      <c r="D1727" s="202">
        <v>2.318082</v>
      </c>
    </row>
    <row r="1728" spans="2:4" ht="13.25" customHeight="1">
      <c r="B1728" s="203">
        <v>43486</v>
      </c>
      <c r="C1728" s="202">
        <v>7.8216640000000002</v>
      </c>
      <c r="D1728" s="202">
        <v>1.1196360000000001</v>
      </c>
    </row>
    <row r="1729" spans="2:4" ht="13.25" customHeight="1">
      <c r="B1729" s="203">
        <v>43487</v>
      </c>
      <c r="C1729" s="202">
        <v>7.7279619999999998</v>
      </c>
      <c r="D1729" s="202">
        <v>1.6152260000000001</v>
      </c>
    </row>
    <row r="1730" spans="2:4" ht="13.25" customHeight="1">
      <c r="B1730" s="203">
        <v>43488</v>
      </c>
      <c r="C1730" s="202">
        <v>7.7575519999999996</v>
      </c>
      <c r="D1730" s="202">
        <v>1.15608</v>
      </c>
    </row>
    <row r="1731" spans="2:4" ht="13.25" customHeight="1">
      <c r="B1731" s="203">
        <v>43489</v>
      </c>
      <c r="C1731" s="202">
        <v>7.7082350000000002</v>
      </c>
      <c r="D1731" s="202">
        <v>1.209943</v>
      </c>
    </row>
    <row r="1732" spans="2:4" ht="13.25" customHeight="1">
      <c r="B1732" s="203">
        <v>43490</v>
      </c>
      <c r="C1732" s="202">
        <v>7.6835769999999997</v>
      </c>
      <c r="D1732" s="202">
        <v>1.099377</v>
      </c>
    </row>
    <row r="1733" spans="2:4" ht="13.25" customHeight="1">
      <c r="B1733" s="203">
        <v>43493</v>
      </c>
      <c r="C1733" s="202">
        <v>7.7131670000000003</v>
      </c>
      <c r="D1733" s="202">
        <v>1.1210370000000001</v>
      </c>
    </row>
    <row r="1734" spans="2:4" ht="13.25" customHeight="1">
      <c r="B1734" s="203">
        <v>43494</v>
      </c>
      <c r="C1734" s="202">
        <v>7.8956390000000001</v>
      </c>
      <c r="D1734" s="202">
        <v>1.995635</v>
      </c>
    </row>
    <row r="1735" spans="2:4" ht="13.25" customHeight="1">
      <c r="B1735" s="203">
        <v>43495</v>
      </c>
      <c r="C1735" s="202">
        <v>7.7970059999999997</v>
      </c>
      <c r="D1735" s="202">
        <v>1.5708089999999999</v>
      </c>
    </row>
    <row r="1736" spans="2:4" ht="13.25" customHeight="1">
      <c r="B1736" s="203">
        <v>43496</v>
      </c>
      <c r="C1736" s="202">
        <v>7.737825</v>
      </c>
      <c r="D1736" s="202">
        <v>3.4876849999999999</v>
      </c>
    </row>
    <row r="1737" spans="2:4" ht="13.25" customHeight="1">
      <c r="B1737" s="203">
        <v>43497</v>
      </c>
      <c r="C1737" s="202">
        <v>7.7279619999999998</v>
      </c>
      <c r="D1737" s="202">
        <v>1.923176</v>
      </c>
    </row>
    <row r="1738" spans="2:4" ht="13.25" customHeight="1">
      <c r="B1738" s="203">
        <v>43500</v>
      </c>
      <c r="C1738" s="202">
        <v>7.737825</v>
      </c>
      <c r="D1738" s="202">
        <v>1.4563699999999999</v>
      </c>
    </row>
    <row r="1739" spans="2:4" ht="13.25" customHeight="1">
      <c r="B1739" s="203">
        <v>43501</v>
      </c>
      <c r="C1739" s="202">
        <v>7.7526200000000003</v>
      </c>
      <c r="D1739" s="202">
        <v>2.5760369999999999</v>
      </c>
    </row>
    <row r="1740" spans="2:4" ht="13.25" customHeight="1">
      <c r="B1740" s="203">
        <v>43502</v>
      </c>
      <c r="C1740" s="202">
        <v>7.7328929999999998</v>
      </c>
      <c r="D1740" s="202">
        <v>1.9284730000000001</v>
      </c>
    </row>
    <row r="1741" spans="2:4" ht="13.25" customHeight="1">
      <c r="B1741" s="203">
        <v>43503</v>
      </c>
      <c r="C1741" s="202">
        <v>7.7624829999999996</v>
      </c>
      <c r="D1741" s="202">
        <v>1.5935140000000001</v>
      </c>
    </row>
    <row r="1742" spans="2:4" ht="13.25" customHeight="1">
      <c r="B1742" s="203">
        <v>43504</v>
      </c>
      <c r="C1742" s="202">
        <v>7.7822100000000001</v>
      </c>
      <c r="D1742" s="202">
        <v>1.306246</v>
      </c>
    </row>
    <row r="1743" spans="2:4" ht="13.25" customHeight="1">
      <c r="B1743" s="203">
        <v>43507</v>
      </c>
      <c r="C1743" s="202">
        <v>7.8808439999999997</v>
      </c>
      <c r="D1743" s="202">
        <v>2.3649960000000001</v>
      </c>
    </row>
    <row r="1744" spans="2:4" ht="13.25" customHeight="1">
      <c r="B1744" s="203">
        <v>43508</v>
      </c>
      <c r="C1744" s="202">
        <v>7.8315270000000003</v>
      </c>
      <c r="D1744" s="202">
        <v>3.7967749999999998</v>
      </c>
    </row>
    <row r="1745" spans="2:4" ht="13.25" customHeight="1">
      <c r="B1745" s="203">
        <v>43509</v>
      </c>
      <c r="C1745" s="202">
        <v>7.9153659999999997</v>
      </c>
      <c r="D1745" s="202">
        <v>3.3886970000000001</v>
      </c>
    </row>
    <row r="1746" spans="2:4" ht="13.25" customHeight="1">
      <c r="B1746" s="203">
        <v>43510</v>
      </c>
      <c r="C1746" s="202">
        <v>8.0090679999999992</v>
      </c>
      <c r="D1746" s="202">
        <v>2.3440620000000001</v>
      </c>
    </row>
    <row r="1747" spans="2:4" ht="13.25" customHeight="1">
      <c r="B1747" s="203">
        <v>43511</v>
      </c>
      <c r="C1747" s="202">
        <v>8.083043</v>
      </c>
      <c r="D1747" s="202">
        <v>2.7128019999999999</v>
      </c>
    </row>
    <row r="1748" spans="2:4" ht="13.25" customHeight="1">
      <c r="B1748" s="203">
        <v>43514</v>
      </c>
      <c r="C1748" s="202">
        <v>8.1471560000000007</v>
      </c>
      <c r="D1748" s="202">
        <v>1.865289</v>
      </c>
    </row>
    <row r="1749" spans="2:4" ht="13.25" customHeight="1">
      <c r="B1749" s="203">
        <v>43515</v>
      </c>
      <c r="C1749" s="202">
        <v>8.1372920000000004</v>
      </c>
      <c r="D1749" s="202">
        <v>1.6016969999999999</v>
      </c>
    </row>
    <row r="1750" spans="2:4" ht="13.25" customHeight="1">
      <c r="B1750" s="203">
        <v>43516</v>
      </c>
      <c r="C1750" s="202">
        <v>8.1668830000000003</v>
      </c>
      <c r="D1750" s="202">
        <v>1.6429009999999999</v>
      </c>
    </row>
    <row r="1751" spans="2:4" ht="13.25" customHeight="1">
      <c r="B1751" s="203">
        <v>43517</v>
      </c>
      <c r="C1751" s="202">
        <v>8.2063349999999993</v>
      </c>
      <c r="D1751" s="202">
        <v>1.8648830000000001</v>
      </c>
    </row>
    <row r="1752" spans="2:4" ht="13.25" customHeight="1">
      <c r="B1752" s="203">
        <v>43518</v>
      </c>
      <c r="C1752" s="202">
        <v>8.1668830000000003</v>
      </c>
      <c r="D1752" s="202">
        <v>1.695773</v>
      </c>
    </row>
    <row r="1753" spans="2:4" ht="13.25" customHeight="1">
      <c r="B1753" s="203">
        <v>43521</v>
      </c>
      <c r="C1753" s="202">
        <v>8.1668830000000003</v>
      </c>
      <c r="D1753" s="202">
        <v>1.483646</v>
      </c>
    </row>
    <row r="1754" spans="2:4" ht="13.25" customHeight="1">
      <c r="B1754" s="203">
        <v>43522</v>
      </c>
      <c r="C1754" s="202">
        <v>8.2359270000000002</v>
      </c>
      <c r="D1754" s="202">
        <v>1.5746599999999999</v>
      </c>
    </row>
    <row r="1755" spans="2:4" ht="13.25" customHeight="1">
      <c r="B1755" s="203">
        <v>43523</v>
      </c>
      <c r="C1755" s="202">
        <v>8.1126339999999999</v>
      </c>
      <c r="D1755" s="202">
        <v>1.8352440000000001</v>
      </c>
    </row>
    <row r="1756" spans="2:4" ht="13.25" customHeight="1">
      <c r="B1756" s="203">
        <v>43524</v>
      </c>
      <c r="C1756" s="202">
        <v>8.2704489999999993</v>
      </c>
      <c r="D1756" s="202">
        <v>4.0198390000000002</v>
      </c>
    </row>
    <row r="1757" spans="2:4" ht="13.25" customHeight="1">
      <c r="B1757" s="203">
        <v>43525</v>
      </c>
      <c r="C1757" s="202">
        <v>8.2951060000000005</v>
      </c>
      <c r="D1757" s="202">
        <v>1.5390950000000001</v>
      </c>
    </row>
    <row r="1758" spans="2:4" ht="13.25" customHeight="1">
      <c r="B1758" s="203">
        <v>43528</v>
      </c>
      <c r="C1758" s="202">
        <v>8.3493560000000002</v>
      </c>
      <c r="D1758" s="202">
        <v>1.912669</v>
      </c>
    </row>
    <row r="1759" spans="2:4" ht="13.25" customHeight="1">
      <c r="B1759" s="203">
        <v>43529</v>
      </c>
      <c r="C1759" s="202">
        <v>7.8019369999999997</v>
      </c>
      <c r="D1759" s="202">
        <v>10.057259999999999</v>
      </c>
    </row>
    <row r="1760" spans="2:4" ht="13.25" customHeight="1">
      <c r="B1760" s="203">
        <v>43530</v>
      </c>
      <c r="C1760" s="202">
        <v>7.7871420000000002</v>
      </c>
      <c r="D1760" s="202">
        <v>7.6776679999999997</v>
      </c>
    </row>
    <row r="1761" spans="2:4" ht="13.25" customHeight="1">
      <c r="B1761" s="203">
        <v>43531</v>
      </c>
      <c r="C1761" s="202">
        <v>7.811801</v>
      </c>
      <c r="D1761" s="202">
        <v>2.9029579999999999</v>
      </c>
    </row>
    <row r="1762" spans="2:4" ht="13.25" customHeight="1">
      <c r="B1762" s="203">
        <v>43532</v>
      </c>
      <c r="C1762" s="202">
        <v>7.8907069999999999</v>
      </c>
      <c r="D1762" s="202">
        <v>2.4691800000000002</v>
      </c>
    </row>
    <row r="1763" spans="2:4" ht="13.25" customHeight="1">
      <c r="B1763" s="203">
        <v>43535</v>
      </c>
      <c r="C1763" s="202">
        <v>7.9104349999999997</v>
      </c>
      <c r="D1763" s="202">
        <v>2.3005810000000002</v>
      </c>
    </row>
    <row r="1764" spans="2:4" ht="13.25" customHeight="1">
      <c r="B1764" s="203">
        <v>43536</v>
      </c>
      <c r="C1764" s="202">
        <v>8.0534529999999993</v>
      </c>
      <c r="D1764" s="202">
        <v>2.2641909999999998</v>
      </c>
    </row>
    <row r="1765" spans="2:4" ht="13.25" customHeight="1">
      <c r="B1765" s="203">
        <v>43537</v>
      </c>
      <c r="C1765" s="202">
        <v>8.04359</v>
      </c>
      <c r="D1765" s="202">
        <v>2.0010370000000002</v>
      </c>
    </row>
    <row r="1766" spans="2:4" ht="13.25" customHeight="1">
      <c r="B1766" s="203">
        <v>43538</v>
      </c>
      <c r="C1766" s="202">
        <v>8.1866090000000007</v>
      </c>
      <c r="D1766" s="202">
        <v>3.1036790000000001</v>
      </c>
    </row>
    <row r="1767" spans="2:4" ht="13.25" customHeight="1">
      <c r="B1767" s="203">
        <v>43539</v>
      </c>
      <c r="C1767" s="202">
        <v>8.3197650000000003</v>
      </c>
      <c r="D1767" s="202">
        <v>3.412884</v>
      </c>
    </row>
    <row r="1768" spans="2:4" ht="13.25" customHeight="1">
      <c r="B1768" s="203">
        <v>43542</v>
      </c>
      <c r="C1768" s="202">
        <v>8.2901740000000004</v>
      </c>
      <c r="D1768" s="202">
        <v>1.627715</v>
      </c>
    </row>
    <row r="1769" spans="2:4" ht="13.25" customHeight="1">
      <c r="B1769" s="203">
        <v>43543</v>
      </c>
      <c r="C1769" s="202">
        <v>8.3296279999999996</v>
      </c>
      <c r="D1769" s="202">
        <v>1.3240240000000001</v>
      </c>
    </row>
    <row r="1770" spans="2:4" ht="13.25" customHeight="1">
      <c r="B1770" s="203">
        <v>43544</v>
      </c>
      <c r="C1770" s="202">
        <v>8.3542860000000001</v>
      </c>
      <c r="D1770" s="202">
        <v>1.745126</v>
      </c>
    </row>
    <row r="1771" spans="2:4" ht="13.25" customHeight="1">
      <c r="B1771" s="203">
        <v>43545</v>
      </c>
      <c r="C1771" s="202">
        <v>8.4923739999999999</v>
      </c>
      <c r="D1771" s="202">
        <v>1.9214519999999999</v>
      </c>
    </row>
    <row r="1772" spans="2:4" ht="13.25" customHeight="1">
      <c r="B1772" s="203">
        <v>43546</v>
      </c>
      <c r="C1772" s="202">
        <v>8.3542860000000001</v>
      </c>
      <c r="D1772" s="202">
        <v>2.258883</v>
      </c>
    </row>
    <row r="1773" spans="2:4" ht="13.25" customHeight="1">
      <c r="B1773" s="203">
        <v>43549</v>
      </c>
      <c r="C1773" s="202">
        <v>8.6205979999999993</v>
      </c>
      <c r="D1773" s="202">
        <v>13.614632</v>
      </c>
    </row>
    <row r="1774" spans="2:4" ht="13.25" customHeight="1">
      <c r="B1774" s="203">
        <v>43550</v>
      </c>
      <c r="C1774" s="202">
        <v>8.7438909999999996</v>
      </c>
      <c r="D1774" s="202">
        <v>2.7977829999999999</v>
      </c>
    </row>
    <row r="1775" spans="2:4" ht="13.25" customHeight="1">
      <c r="B1775" s="203">
        <v>43551</v>
      </c>
      <c r="C1775" s="202">
        <v>8.6353930000000005</v>
      </c>
      <c r="D1775" s="202">
        <v>2.9466100000000002</v>
      </c>
    </row>
    <row r="1776" spans="2:4" ht="13.25" customHeight="1">
      <c r="B1776" s="203">
        <v>43552</v>
      </c>
      <c r="C1776" s="202">
        <v>8.6797780000000007</v>
      </c>
      <c r="D1776" s="202">
        <v>1.641799</v>
      </c>
    </row>
    <row r="1777" spans="2:4" ht="13.25" customHeight="1">
      <c r="B1777" s="203">
        <v>43553</v>
      </c>
      <c r="C1777" s="202">
        <v>8.6304619999999996</v>
      </c>
      <c r="D1777" s="202">
        <v>2.1499570000000001</v>
      </c>
    </row>
    <row r="1778" spans="2:4" ht="13.25" customHeight="1">
      <c r="B1778" s="203">
        <v>43556</v>
      </c>
      <c r="C1778" s="202">
        <v>8.5712799999999998</v>
      </c>
      <c r="D1778" s="202">
        <v>2.3334169999999999</v>
      </c>
    </row>
    <row r="1779" spans="2:4" ht="13.25" customHeight="1">
      <c r="B1779" s="203">
        <v>43557</v>
      </c>
      <c r="C1779" s="202">
        <v>8.5712799999999998</v>
      </c>
      <c r="D1779" s="202">
        <v>1.8803829999999999</v>
      </c>
    </row>
    <row r="1780" spans="2:4" ht="13.25" customHeight="1">
      <c r="B1780" s="203">
        <v>43558</v>
      </c>
      <c r="C1780" s="202">
        <v>8.5268960000000007</v>
      </c>
      <c r="D1780" s="202">
        <v>3.0519430000000001</v>
      </c>
    </row>
    <row r="1781" spans="2:4" ht="13.25" customHeight="1">
      <c r="B1781" s="203">
        <v>43559</v>
      </c>
      <c r="C1781" s="202">
        <v>8.5515550000000005</v>
      </c>
      <c r="D1781" s="202">
        <v>2.422053</v>
      </c>
    </row>
    <row r="1782" spans="2:4" ht="13.25" customHeight="1">
      <c r="B1782" s="203">
        <v>43560</v>
      </c>
      <c r="C1782" s="202">
        <v>8.5564859999999996</v>
      </c>
      <c r="D1782" s="202">
        <v>1.989611</v>
      </c>
    </row>
    <row r="1783" spans="2:4" ht="13.25" customHeight="1">
      <c r="B1783" s="203">
        <v>43563</v>
      </c>
      <c r="C1783" s="202">
        <v>8.6205979999999993</v>
      </c>
      <c r="D1783" s="202">
        <v>2.2504810000000002</v>
      </c>
    </row>
    <row r="1784" spans="2:4" ht="13.25" customHeight="1">
      <c r="B1784" s="203">
        <v>43564</v>
      </c>
      <c r="C1784" s="202">
        <v>8.4578520000000008</v>
      </c>
      <c r="D1784" s="202">
        <v>2.9302000000000001</v>
      </c>
    </row>
    <row r="1785" spans="2:4" ht="13.25" customHeight="1">
      <c r="B1785" s="203">
        <v>43565</v>
      </c>
      <c r="C1785" s="202">
        <v>8.6058029999999999</v>
      </c>
      <c r="D1785" s="202">
        <v>1.8888659999999999</v>
      </c>
    </row>
    <row r="1786" spans="2:4" ht="13.25" customHeight="1">
      <c r="B1786" s="203">
        <v>43566</v>
      </c>
      <c r="C1786" s="202">
        <v>8.6649840000000005</v>
      </c>
      <c r="D1786" s="202">
        <v>3.3933759999999999</v>
      </c>
    </row>
    <row r="1787" spans="2:4" ht="13.25" customHeight="1">
      <c r="B1787" s="203">
        <v>43567</v>
      </c>
      <c r="C1787" s="202">
        <v>8.650188</v>
      </c>
      <c r="D1787" s="202">
        <v>2.0441799999999999</v>
      </c>
    </row>
    <row r="1788" spans="2:4" ht="13.25" customHeight="1">
      <c r="B1788" s="203">
        <v>43570</v>
      </c>
      <c r="C1788" s="202">
        <v>8.6748480000000008</v>
      </c>
      <c r="D1788" s="202">
        <v>2.1580050000000002</v>
      </c>
    </row>
    <row r="1789" spans="2:4" ht="13.25" customHeight="1">
      <c r="B1789" s="203">
        <v>43571</v>
      </c>
      <c r="C1789" s="202">
        <v>8.5811440000000001</v>
      </c>
      <c r="D1789" s="202">
        <v>1.6793640000000001</v>
      </c>
    </row>
    <row r="1790" spans="2:4" ht="13.25" customHeight="1">
      <c r="B1790" s="203">
        <v>43572</v>
      </c>
      <c r="C1790" s="202">
        <v>8.5022369999999992</v>
      </c>
      <c r="D1790" s="202">
        <v>2.4698739999999999</v>
      </c>
    </row>
    <row r="1791" spans="2:4" ht="13.25" customHeight="1">
      <c r="B1791" s="203">
        <v>43573</v>
      </c>
      <c r="C1791" s="202">
        <v>8.5121009999999995</v>
      </c>
      <c r="D1791" s="202">
        <v>1.7800119999999999</v>
      </c>
    </row>
    <row r="1792" spans="2:4" ht="13.25" customHeight="1">
      <c r="B1792" s="203">
        <v>43578</v>
      </c>
      <c r="C1792" s="202">
        <v>8.7303599999999992</v>
      </c>
      <c r="D1792" s="202">
        <v>2.644787</v>
      </c>
    </row>
    <row r="1793" spans="2:4" ht="13.25" customHeight="1">
      <c r="B1793" s="203">
        <v>43579</v>
      </c>
      <c r="C1793" s="202">
        <v>8.745241</v>
      </c>
      <c r="D1793" s="202">
        <v>2.9469799999999999</v>
      </c>
    </row>
    <row r="1794" spans="2:4" ht="13.25" customHeight="1">
      <c r="B1794" s="203">
        <v>43580</v>
      </c>
      <c r="C1794" s="202">
        <v>8.8642920000000007</v>
      </c>
      <c r="D1794" s="202">
        <v>1.8587359999999999</v>
      </c>
    </row>
    <row r="1795" spans="2:4" ht="13.25" customHeight="1">
      <c r="B1795" s="203">
        <v>43581</v>
      </c>
      <c r="C1795" s="202">
        <v>8.8146880000000003</v>
      </c>
      <c r="D1795" s="202">
        <v>2.2236349999999998</v>
      </c>
    </row>
    <row r="1796" spans="2:4" ht="13.25" customHeight="1">
      <c r="B1796" s="203">
        <v>43584</v>
      </c>
      <c r="C1796" s="202">
        <v>8.7898849999999999</v>
      </c>
      <c r="D1796" s="202">
        <v>1.1881010000000001</v>
      </c>
    </row>
    <row r="1797" spans="2:4" ht="13.25" customHeight="1">
      <c r="B1797" s="203">
        <v>43585</v>
      </c>
      <c r="C1797" s="202">
        <v>8.9138959999999994</v>
      </c>
      <c r="D1797" s="202">
        <v>2.2016429999999998</v>
      </c>
    </row>
    <row r="1798" spans="2:4" ht="13.25" customHeight="1">
      <c r="B1798" s="203">
        <v>43587</v>
      </c>
      <c r="C1798" s="202">
        <v>8.7402809999999995</v>
      </c>
      <c r="D1798" s="202">
        <v>2.0501299999999998</v>
      </c>
    </row>
    <row r="1799" spans="2:4" ht="13.25" customHeight="1">
      <c r="B1799" s="203">
        <v>43588</v>
      </c>
      <c r="C1799" s="202">
        <v>8.7998060000000002</v>
      </c>
      <c r="D1799" s="202">
        <v>1.764</v>
      </c>
    </row>
    <row r="1800" spans="2:4" ht="13.25" customHeight="1">
      <c r="B1800" s="203">
        <v>43591</v>
      </c>
      <c r="C1800" s="202">
        <v>8.7849249999999994</v>
      </c>
      <c r="D1800" s="202">
        <v>1.5110509999999999</v>
      </c>
    </row>
    <row r="1801" spans="2:4" ht="13.25" customHeight="1">
      <c r="B1801" s="203">
        <v>43592</v>
      </c>
      <c r="C1801" s="202">
        <v>8.9783819999999999</v>
      </c>
      <c r="D1801" s="202">
        <v>5.1818299999999997</v>
      </c>
    </row>
    <row r="1802" spans="2:4" ht="13.25" customHeight="1">
      <c r="B1802" s="203">
        <v>43593</v>
      </c>
      <c r="C1802" s="202">
        <v>9.1271939999999994</v>
      </c>
      <c r="D1802" s="202">
        <v>2.6735150000000001</v>
      </c>
    </row>
    <row r="1803" spans="2:4" ht="13.25" customHeight="1">
      <c r="B1803" s="203">
        <v>43594</v>
      </c>
      <c r="C1803" s="202">
        <v>9.0527879999999996</v>
      </c>
      <c r="D1803" s="202">
        <v>1.7283930000000001</v>
      </c>
    </row>
    <row r="1804" spans="2:4" ht="13.25" customHeight="1">
      <c r="B1804" s="203">
        <v>43595</v>
      </c>
      <c r="C1804" s="202">
        <v>9.1470369999999992</v>
      </c>
      <c r="D1804" s="202">
        <v>2.1150929999999999</v>
      </c>
    </row>
    <row r="1805" spans="2:4" ht="13.25" customHeight="1">
      <c r="B1805" s="203">
        <v>43598</v>
      </c>
      <c r="C1805" s="202">
        <v>9.0875109999999992</v>
      </c>
      <c r="D1805" s="202">
        <v>2.0284390000000001</v>
      </c>
    </row>
    <row r="1806" spans="2:4" ht="13.25" customHeight="1">
      <c r="B1806" s="203">
        <v>43599</v>
      </c>
      <c r="C1806" s="202">
        <v>9.018065</v>
      </c>
      <c r="D1806" s="202">
        <v>3.5135809999999998</v>
      </c>
    </row>
    <row r="1807" spans="2:4" ht="13.25" customHeight="1">
      <c r="B1807" s="203">
        <v>43600</v>
      </c>
      <c r="C1807" s="202">
        <v>8.9932619999999996</v>
      </c>
      <c r="D1807" s="202">
        <v>2.7689759999999999</v>
      </c>
    </row>
    <row r="1808" spans="2:4" ht="13.25" customHeight="1">
      <c r="B1808" s="203">
        <v>43601</v>
      </c>
      <c r="C1808" s="202">
        <v>9.0131040000000002</v>
      </c>
      <c r="D1808" s="202">
        <v>2.142436</v>
      </c>
    </row>
    <row r="1809" spans="2:4" ht="13.25" customHeight="1">
      <c r="B1809" s="203">
        <v>43602</v>
      </c>
      <c r="C1809" s="202">
        <v>9.0924709999999997</v>
      </c>
      <c r="D1809" s="202">
        <v>2.8681580000000002</v>
      </c>
    </row>
    <row r="1810" spans="2:4" ht="13.25" customHeight="1">
      <c r="B1810" s="203">
        <v>43605</v>
      </c>
      <c r="C1810" s="202">
        <v>9.0527879999999996</v>
      </c>
      <c r="D1810" s="202">
        <v>2.3737360000000001</v>
      </c>
    </row>
    <row r="1811" spans="2:4" ht="13.25" customHeight="1">
      <c r="B1811" s="203">
        <v>43606</v>
      </c>
      <c r="C1811" s="202">
        <v>9.1222329999999996</v>
      </c>
      <c r="D1811" s="202">
        <v>1.845904</v>
      </c>
    </row>
    <row r="1812" spans="2:4" ht="13.25" customHeight="1">
      <c r="B1812" s="203">
        <v>43607</v>
      </c>
      <c r="C1812" s="202">
        <v>9.0825499999999995</v>
      </c>
      <c r="D1812" s="202">
        <v>1.718939</v>
      </c>
    </row>
    <row r="1813" spans="2:4" ht="13.25" customHeight="1">
      <c r="B1813" s="203">
        <v>43608</v>
      </c>
      <c r="C1813" s="202">
        <v>9.018065</v>
      </c>
      <c r="D1813" s="202">
        <v>1.9966189999999999</v>
      </c>
    </row>
    <row r="1814" spans="2:4" ht="13.25" customHeight="1">
      <c r="B1814" s="203">
        <v>43609</v>
      </c>
      <c r="C1814" s="202">
        <v>9.0131040000000002</v>
      </c>
      <c r="D1814" s="202">
        <v>2.0054560000000001</v>
      </c>
    </row>
    <row r="1815" spans="2:4" ht="13.25" customHeight="1">
      <c r="B1815" s="203">
        <v>43612</v>
      </c>
      <c r="C1815" s="202">
        <v>9.0131040000000002</v>
      </c>
      <c r="D1815" s="202">
        <v>0.87952399999999997</v>
      </c>
    </row>
    <row r="1816" spans="2:4" ht="13.25" customHeight="1">
      <c r="B1816" s="203">
        <v>43613</v>
      </c>
      <c r="C1816" s="202">
        <v>8.958539</v>
      </c>
      <c r="D1816" s="202">
        <v>3.1861139999999999</v>
      </c>
    </row>
    <row r="1817" spans="2:4" ht="13.25" customHeight="1">
      <c r="B1817" s="203">
        <v>43614</v>
      </c>
      <c r="C1817" s="202">
        <v>8.8394890000000004</v>
      </c>
      <c r="D1817" s="202">
        <v>1.423306</v>
      </c>
    </row>
    <row r="1818" spans="2:4" ht="13.25" customHeight="1">
      <c r="B1818" s="203">
        <v>43615</v>
      </c>
      <c r="C1818" s="202">
        <v>8.7303599999999992</v>
      </c>
      <c r="D1818" s="202">
        <v>2.9203709999999998</v>
      </c>
    </row>
    <row r="1819" spans="2:4" ht="13.25" customHeight="1">
      <c r="B1819" s="203">
        <v>43616</v>
      </c>
      <c r="C1819" s="202">
        <v>8.6757950000000008</v>
      </c>
      <c r="D1819" s="202">
        <v>3.018014</v>
      </c>
    </row>
    <row r="1820" spans="2:4" ht="13.25" customHeight="1">
      <c r="B1820" s="203">
        <v>43619</v>
      </c>
      <c r="C1820" s="202">
        <v>8.6708350000000003</v>
      </c>
      <c r="D1820" s="202">
        <v>2.137791</v>
      </c>
    </row>
    <row r="1821" spans="2:4" ht="13.25" customHeight="1">
      <c r="B1821" s="203">
        <v>43620</v>
      </c>
      <c r="C1821" s="202">
        <v>8.7055579999999999</v>
      </c>
      <c r="D1821" s="202">
        <v>2.9890279999999998</v>
      </c>
    </row>
    <row r="1822" spans="2:4" ht="13.25" customHeight="1">
      <c r="B1822" s="203">
        <v>43621</v>
      </c>
      <c r="C1822" s="202">
        <v>8.7402809999999995</v>
      </c>
      <c r="D1822" s="202">
        <v>2.2355909999999999</v>
      </c>
    </row>
    <row r="1823" spans="2:4" ht="13.25" customHeight="1">
      <c r="B1823" s="203">
        <v>43622</v>
      </c>
      <c r="C1823" s="202">
        <v>8.6757950000000008</v>
      </c>
      <c r="D1823" s="202">
        <v>2.0225650000000002</v>
      </c>
    </row>
    <row r="1824" spans="2:4" ht="13.25" customHeight="1">
      <c r="B1824" s="203">
        <v>43623</v>
      </c>
      <c r="C1824" s="202">
        <v>8.7105180000000004</v>
      </c>
      <c r="D1824" s="202">
        <v>1.901789</v>
      </c>
    </row>
    <row r="1825" spans="2:4" ht="13.25" customHeight="1">
      <c r="B1825" s="203">
        <v>43626</v>
      </c>
      <c r="C1825" s="202">
        <v>8.6212300000000006</v>
      </c>
      <c r="D1825" s="202">
        <v>2.3784320000000001</v>
      </c>
    </row>
    <row r="1826" spans="2:4" ht="13.25" customHeight="1">
      <c r="B1826" s="203">
        <v>43627</v>
      </c>
      <c r="C1826" s="202">
        <v>8.7402809999999995</v>
      </c>
      <c r="D1826" s="202">
        <v>2.1999550000000001</v>
      </c>
    </row>
    <row r="1827" spans="2:4" ht="13.25" customHeight="1">
      <c r="B1827" s="203">
        <v>43628</v>
      </c>
      <c r="C1827" s="202">
        <v>8.7551620000000003</v>
      </c>
      <c r="D1827" s="202">
        <v>1.7910379999999999</v>
      </c>
    </row>
    <row r="1828" spans="2:4" ht="13.25" customHeight="1">
      <c r="B1828" s="203">
        <v>43629</v>
      </c>
      <c r="C1828" s="202">
        <v>8.7154790000000002</v>
      </c>
      <c r="D1828" s="202">
        <v>1.493722</v>
      </c>
    </row>
    <row r="1829" spans="2:4" ht="13.25" customHeight="1">
      <c r="B1829" s="203">
        <v>43630</v>
      </c>
      <c r="C1829" s="202">
        <v>8.6906770000000009</v>
      </c>
      <c r="D1829" s="202">
        <v>2.1905830000000002</v>
      </c>
    </row>
    <row r="1830" spans="2:4" ht="13.25" customHeight="1">
      <c r="B1830" s="203">
        <v>43633</v>
      </c>
      <c r="C1830" s="202">
        <v>8.7303599999999992</v>
      </c>
      <c r="D1830" s="202">
        <v>1.246014</v>
      </c>
    </row>
    <row r="1831" spans="2:4" ht="13.25" customHeight="1">
      <c r="B1831" s="203">
        <v>43634</v>
      </c>
      <c r="C1831" s="202">
        <v>8.8494100000000007</v>
      </c>
      <c r="D1831" s="202">
        <v>2.2467039999999998</v>
      </c>
    </row>
    <row r="1832" spans="2:4" ht="13.25" customHeight="1">
      <c r="B1832" s="203">
        <v>43635</v>
      </c>
      <c r="C1832" s="202">
        <v>8.6757950000000008</v>
      </c>
      <c r="D1832" s="202">
        <v>3.413891</v>
      </c>
    </row>
    <row r="1833" spans="2:4" ht="13.25" customHeight="1">
      <c r="B1833" s="203">
        <v>43636</v>
      </c>
      <c r="C1833" s="202">
        <v>8.8940540000000006</v>
      </c>
      <c r="D1833" s="202">
        <v>2.1679889999999999</v>
      </c>
    </row>
    <row r="1834" spans="2:4" ht="13.25" customHeight="1">
      <c r="B1834" s="203">
        <v>43637</v>
      </c>
      <c r="C1834" s="202">
        <v>8.8940540000000006</v>
      </c>
      <c r="D1834" s="202">
        <v>4.7421319999999998</v>
      </c>
    </row>
    <row r="1835" spans="2:4" ht="13.25" customHeight="1">
      <c r="B1835" s="203">
        <v>43640</v>
      </c>
      <c r="C1835" s="202">
        <v>9.1271939999999994</v>
      </c>
      <c r="D1835" s="202">
        <v>2.5707080000000002</v>
      </c>
    </row>
    <row r="1836" spans="2:4" ht="13.25" customHeight="1">
      <c r="B1836" s="203">
        <v>43641</v>
      </c>
      <c r="C1836" s="202">
        <v>8.8642920000000007</v>
      </c>
      <c r="D1836" s="202">
        <v>2.5233340000000002</v>
      </c>
    </row>
    <row r="1837" spans="2:4" ht="13.25" customHeight="1">
      <c r="B1837" s="203">
        <v>43642</v>
      </c>
      <c r="C1837" s="202">
        <v>8.5666659999999997</v>
      </c>
      <c r="D1837" s="202">
        <v>4.4109400000000001</v>
      </c>
    </row>
    <row r="1838" spans="2:4" ht="13.25" customHeight="1">
      <c r="B1838" s="203">
        <v>43643</v>
      </c>
      <c r="C1838" s="202">
        <v>8.5121009999999995</v>
      </c>
      <c r="D1838" s="202">
        <v>2.838473</v>
      </c>
    </row>
    <row r="1839" spans="2:4" ht="13.25" customHeight="1">
      <c r="B1839" s="203">
        <v>43644</v>
      </c>
      <c r="C1839" s="202">
        <v>8.5468240000000009</v>
      </c>
      <c r="D1839" s="202">
        <v>2.6248420000000001</v>
      </c>
    </row>
    <row r="1840" spans="2:4" ht="13.25" customHeight="1">
      <c r="B1840" s="203">
        <v>43647</v>
      </c>
      <c r="C1840" s="202">
        <v>8.6509929999999997</v>
      </c>
      <c r="D1840" s="202">
        <v>2.4247350000000001</v>
      </c>
    </row>
    <row r="1841" spans="2:4" ht="13.25" customHeight="1">
      <c r="B1841" s="203">
        <v>43648</v>
      </c>
      <c r="C1841" s="202">
        <v>8.7750039999999991</v>
      </c>
      <c r="D1841" s="202">
        <v>2.1263930000000002</v>
      </c>
    </row>
    <row r="1842" spans="2:4" ht="13.25" customHeight="1">
      <c r="B1842" s="203">
        <v>43649</v>
      </c>
      <c r="C1842" s="202">
        <v>8.958539</v>
      </c>
      <c r="D1842" s="202">
        <v>2.6903649999999999</v>
      </c>
    </row>
    <row r="1843" spans="2:4" ht="13.25" customHeight="1">
      <c r="B1843" s="203">
        <v>43650</v>
      </c>
      <c r="C1843" s="202">
        <v>8.7849249999999994</v>
      </c>
      <c r="D1843" s="202">
        <v>2.377494</v>
      </c>
    </row>
    <row r="1844" spans="2:4" ht="13.25" customHeight="1">
      <c r="B1844" s="203">
        <v>43651</v>
      </c>
      <c r="C1844" s="202">
        <v>8.7303599999999992</v>
      </c>
      <c r="D1844" s="202">
        <v>2.7000799999999998</v>
      </c>
    </row>
    <row r="1845" spans="2:4" ht="13.25" customHeight="1">
      <c r="B1845" s="203">
        <v>43654</v>
      </c>
      <c r="C1845" s="202">
        <v>8.7551620000000003</v>
      </c>
      <c r="D1845" s="202">
        <v>1.6167320000000001</v>
      </c>
    </row>
    <row r="1846" spans="2:4" ht="13.25" customHeight="1">
      <c r="B1846" s="203">
        <v>43655</v>
      </c>
      <c r="C1846" s="202">
        <v>8.7204390000000007</v>
      </c>
      <c r="D1846" s="202">
        <v>1.6757899999999999</v>
      </c>
    </row>
    <row r="1847" spans="2:4" ht="13.25" customHeight="1">
      <c r="B1847" s="203">
        <v>43656</v>
      </c>
      <c r="C1847" s="202">
        <v>8.6906770000000009</v>
      </c>
      <c r="D1847" s="202">
        <v>2.2821229999999999</v>
      </c>
    </row>
    <row r="1848" spans="2:4" ht="13.25" customHeight="1">
      <c r="B1848" s="203">
        <v>43657</v>
      </c>
      <c r="C1848" s="202">
        <v>8.6658740000000005</v>
      </c>
      <c r="D1848" s="202">
        <v>2.023266</v>
      </c>
    </row>
    <row r="1849" spans="2:4" ht="13.25" customHeight="1">
      <c r="B1849" s="203">
        <v>43658</v>
      </c>
      <c r="C1849" s="202">
        <v>8.6113099999999996</v>
      </c>
      <c r="D1849" s="202">
        <v>2.82552</v>
      </c>
    </row>
    <row r="1850" spans="2:4" ht="13.25" customHeight="1">
      <c r="B1850" s="203">
        <v>43661</v>
      </c>
      <c r="C1850" s="202">
        <v>8.6113099999999996</v>
      </c>
      <c r="D1850" s="202">
        <v>2.0075180000000001</v>
      </c>
    </row>
    <row r="1851" spans="2:4" ht="13.25" customHeight="1">
      <c r="B1851" s="203">
        <v>43662</v>
      </c>
      <c r="C1851" s="202">
        <v>8.5914680000000008</v>
      </c>
      <c r="D1851" s="202">
        <v>1.961544</v>
      </c>
    </row>
    <row r="1852" spans="2:4" ht="13.25" customHeight="1">
      <c r="B1852" s="203">
        <v>43663</v>
      </c>
      <c r="C1852" s="202">
        <v>8.5121009999999995</v>
      </c>
      <c r="D1852" s="202">
        <v>2.3169620000000002</v>
      </c>
    </row>
    <row r="1853" spans="2:4" ht="13.25" customHeight="1">
      <c r="B1853" s="203">
        <v>43664</v>
      </c>
      <c r="C1853" s="202">
        <v>8.576587</v>
      </c>
      <c r="D1853" s="202">
        <v>2.5081030000000002</v>
      </c>
    </row>
    <row r="1854" spans="2:4" ht="13.25" customHeight="1">
      <c r="B1854" s="203">
        <v>43665</v>
      </c>
      <c r="C1854" s="202">
        <v>8.4674569999999996</v>
      </c>
      <c r="D1854" s="202">
        <v>1.6838169999999999</v>
      </c>
    </row>
    <row r="1855" spans="2:4" ht="13.25" customHeight="1">
      <c r="B1855" s="203">
        <v>43668</v>
      </c>
      <c r="C1855" s="202">
        <v>8.4922599999999999</v>
      </c>
      <c r="D1855" s="202">
        <v>1.5978509999999999</v>
      </c>
    </row>
    <row r="1856" spans="2:4" ht="13.25" customHeight="1">
      <c r="B1856" s="203">
        <v>43669</v>
      </c>
      <c r="C1856" s="202">
        <v>8.4525769999999998</v>
      </c>
      <c r="D1856" s="202">
        <v>2.1421640000000002</v>
      </c>
    </row>
    <row r="1857" spans="2:4" ht="13.25" customHeight="1">
      <c r="B1857" s="203">
        <v>43670</v>
      </c>
      <c r="C1857" s="202">
        <v>8.5418629999999993</v>
      </c>
      <c r="D1857" s="202">
        <v>3.6692300000000002</v>
      </c>
    </row>
    <row r="1858" spans="2:4" ht="13.25" customHeight="1">
      <c r="B1858" s="203">
        <v>43671</v>
      </c>
      <c r="C1858" s="202">
        <v>8.4724179999999993</v>
      </c>
      <c r="D1858" s="202">
        <v>2.6630060000000002</v>
      </c>
    </row>
    <row r="1859" spans="2:4" ht="13.25" customHeight="1">
      <c r="B1859" s="203">
        <v>43672</v>
      </c>
      <c r="C1859" s="202">
        <v>8.4624970000000008</v>
      </c>
      <c r="D1859" s="202">
        <v>1.646328</v>
      </c>
    </row>
    <row r="1860" spans="2:4" ht="13.25" customHeight="1">
      <c r="B1860" s="203">
        <v>43675</v>
      </c>
      <c r="C1860" s="202">
        <v>8.3831290000000003</v>
      </c>
      <c r="D1860" s="202">
        <v>2.1292749999999998</v>
      </c>
    </row>
    <row r="1861" spans="2:4" ht="13.25" customHeight="1">
      <c r="B1861" s="203">
        <v>43676</v>
      </c>
      <c r="C1861" s="202">
        <v>8.4376949999999997</v>
      </c>
      <c r="D1861" s="202">
        <v>7.4217149999999998</v>
      </c>
    </row>
    <row r="1862" spans="2:4" ht="13.25" customHeight="1">
      <c r="B1862" s="203">
        <v>43677</v>
      </c>
      <c r="C1862" s="202">
        <v>8.3533670000000004</v>
      </c>
      <c r="D1862" s="202">
        <v>3.1312090000000001</v>
      </c>
    </row>
    <row r="1863" spans="2:4" ht="13.25" customHeight="1">
      <c r="B1863" s="203">
        <v>43678</v>
      </c>
      <c r="C1863" s="202">
        <v>8.3236050000000006</v>
      </c>
      <c r="D1863" s="202">
        <v>2.7413530000000002</v>
      </c>
    </row>
    <row r="1864" spans="2:4" ht="13.25" customHeight="1">
      <c r="B1864" s="203">
        <v>43679</v>
      </c>
      <c r="C1864" s="202">
        <v>8.2541580000000003</v>
      </c>
      <c r="D1864" s="202">
        <v>2.8679290000000002</v>
      </c>
    </row>
    <row r="1865" spans="2:4" ht="13.25" customHeight="1">
      <c r="B1865" s="203">
        <v>43682</v>
      </c>
      <c r="C1865" s="202">
        <v>8.0656619999999997</v>
      </c>
      <c r="D1865" s="202">
        <v>3.3985699999999999</v>
      </c>
    </row>
    <row r="1866" spans="2:4" ht="13.25" customHeight="1">
      <c r="B1866" s="203">
        <v>43683</v>
      </c>
      <c r="C1866" s="202">
        <v>7.8920469999999998</v>
      </c>
      <c r="D1866" s="202">
        <v>4.3663930000000004</v>
      </c>
    </row>
    <row r="1867" spans="2:4" ht="13.25" customHeight="1">
      <c r="B1867" s="203">
        <v>43684</v>
      </c>
      <c r="C1867" s="202">
        <v>7.887086</v>
      </c>
      <c r="D1867" s="202">
        <v>2.8128199999999999</v>
      </c>
    </row>
    <row r="1868" spans="2:4" ht="13.25" customHeight="1">
      <c r="B1868" s="203">
        <v>43685</v>
      </c>
      <c r="C1868" s="202">
        <v>7.9317299999999999</v>
      </c>
      <c r="D1868" s="202">
        <v>1.9026460000000001</v>
      </c>
    </row>
    <row r="1869" spans="2:4" ht="13.25" customHeight="1">
      <c r="B1869" s="203">
        <v>43686</v>
      </c>
      <c r="C1869" s="202">
        <v>7.7680360000000004</v>
      </c>
      <c r="D1869" s="202">
        <v>2.3215150000000002</v>
      </c>
    </row>
    <row r="1870" spans="2:4" ht="13.25" customHeight="1">
      <c r="B1870" s="203">
        <v>43689</v>
      </c>
      <c r="C1870" s="202">
        <v>7.9962160000000004</v>
      </c>
      <c r="D1870" s="202">
        <v>2.9436369999999998</v>
      </c>
    </row>
    <row r="1871" spans="2:4" ht="13.25" customHeight="1">
      <c r="B1871" s="203">
        <v>43690</v>
      </c>
      <c r="C1871" s="202">
        <v>7.862285</v>
      </c>
      <c r="D1871" s="202">
        <v>2.2793990000000002</v>
      </c>
    </row>
    <row r="1872" spans="2:4" ht="13.25" customHeight="1">
      <c r="B1872" s="203">
        <v>43691</v>
      </c>
      <c r="C1872" s="202">
        <v>7.7233919999999996</v>
      </c>
      <c r="D1872" s="202">
        <v>2.0492159999999999</v>
      </c>
    </row>
    <row r="1873" spans="2:4" ht="13.25" customHeight="1">
      <c r="B1873" s="203">
        <v>43693</v>
      </c>
      <c r="C1873" s="202">
        <v>7.7779569999999998</v>
      </c>
      <c r="D1873" s="202">
        <v>3.3278340000000002</v>
      </c>
    </row>
    <row r="1874" spans="2:4" ht="13.25" customHeight="1">
      <c r="B1874" s="203">
        <v>43696</v>
      </c>
      <c r="C1874" s="202">
        <v>7.9267700000000003</v>
      </c>
      <c r="D1874" s="202">
        <v>1.541174</v>
      </c>
    </row>
    <row r="1875" spans="2:4" ht="13.25" customHeight="1">
      <c r="B1875" s="203">
        <v>43697</v>
      </c>
      <c r="C1875" s="202">
        <v>7.8672449999999996</v>
      </c>
      <c r="D1875" s="202">
        <v>1.7632099999999999</v>
      </c>
    </row>
    <row r="1876" spans="2:4" ht="13.25" customHeight="1">
      <c r="B1876" s="203">
        <v>43698</v>
      </c>
      <c r="C1876" s="202">
        <v>8.1896719999999998</v>
      </c>
      <c r="D1876" s="202">
        <v>3.3446630000000002</v>
      </c>
    </row>
    <row r="1877" spans="2:4" ht="13.25" customHeight="1">
      <c r="B1877" s="203">
        <v>43699</v>
      </c>
      <c r="C1877" s="202">
        <v>8.2343170000000008</v>
      </c>
      <c r="D1877" s="202">
        <v>4.1787859999999997</v>
      </c>
    </row>
    <row r="1878" spans="2:4" ht="13.25" customHeight="1">
      <c r="B1878" s="203">
        <v>43700</v>
      </c>
      <c r="C1878" s="202">
        <v>8.1003849999999993</v>
      </c>
      <c r="D1878" s="202">
        <v>1.9959739999999999</v>
      </c>
    </row>
    <row r="1879" spans="2:4" ht="13.25" customHeight="1">
      <c r="B1879" s="203">
        <v>43703</v>
      </c>
      <c r="C1879" s="202">
        <v>8.15991</v>
      </c>
      <c r="D1879" s="202">
        <v>1.742729</v>
      </c>
    </row>
    <row r="1880" spans="2:4" ht="13.25" customHeight="1">
      <c r="B1880" s="203">
        <v>43704</v>
      </c>
      <c r="C1880" s="202">
        <v>8.3930500000000006</v>
      </c>
      <c r="D1880" s="202">
        <v>3.07782</v>
      </c>
    </row>
    <row r="1881" spans="2:4" ht="13.25" customHeight="1">
      <c r="B1881" s="203">
        <v>43705</v>
      </c>
      <c r="C1881" s="202">
        <v>8.3831290000000003</v>
      </c>
      <c r="D1881" s="202">
        <v>4.0511410000000003</v>
      </c>
    </row>
    <row r="1882" spans="2:4" ht="13.25" customHeight="1">
      <c r="B1882" s="203">
        <v>43706</v>
      </c>
      <c r="C1882" s="202">
        <v>8.4972189999999994</v>
      </c>
      <c r="D1882" s="202">
        <v>2.090509</v>
      </c>
    </row>
    <row r="1883" spans="2:4" ht="13.25" customHeight="1">
      <c r="B1883" s="203">
        <v>43707</v>
      </c>
      <c r="C1883" s="202">
        <v>8.4575359999999993</v>
      </c>
      <c r="D1883" s="202">
        <v>1.93458</v>
      </c>
    </row>
    <row r="1884" spans="2:4" ht="13.25" customHeight="1">
      <c r="B1884" s="203">
        <v>43710</v>
      </c>
      <c r="C1884" s="202">
        <v>8.5567449999999994</v>
      </c>
      <c r="D1884" s="202">
        <v>1.112433</v>
      </c>
    </row>
    <row r="1885" spans="2:4" ht="13.25" customHeight="1">
      <c r="B1885" s="203">
        <v>43711</v>
      </c>
      <c r="C1885" s="202">
        <v>8.576587</v>
      </c>
      <c r="D1885" s="202">
        <v>1.778818</v>
      </c>
    </row>
    <row r="1886" spans="2:4" ht="13.25" customHeight="1">
      <c r="B1886" s="203">
        <v>43712</v>
      </c>
      <c r="C1886" s="202">
        <v>8.6410719999999994</v>
      </c>
      <c r="D1886" s="202">
        <v>1.4746520000000001</v>
      </c>
    </row>
    <row r="1887" spans="2:4" ht="13.25" customHeight="1">
      <c r="B1887" s="203">
        <v>43713</v>
      </c>
      <c r="C1887" s="202">
        <v>8.5865069999999992</v>
      </c>
      <c r="D1887" s="202">
        <v>2.8097249999999998</v>
      </c>
    </row>
    <row r="1888" spans="2:4" ht="13.25" customHeight="1">
      <c r="B1888" s="203">
        <v>43714</v>
      </c>
      <c r="C1888" s="202">
        <v>8.5865069999999992</v>
      </c>
      <c r="D1888" s="202">
        <v>1.4837910000000001</v>
      </c>
    </row>
    <row r="1889" spans="2:4" ht="13.25" customHeight="1">
      <c r="B1889" s="203">
        <v>43717</v>
      </c>
      <c r="C1889" s="202">
        <v>8.4079320000000006</v>
      </c>
      <c r="D1889" s="202">
        <v>2.057134</v>
      </c>
    </row>
    <row r="1890" spans="2:4" ht="13.25" customHeight="1">
      <c r="B1890" s="203">
        <v>43718</v>
      </c>
      <c r="C1890" s="202">
        <v>8.3236050000000006</v>
      </c>
      <c r="D1890" s="202">
        <v>2.2469250000000001</v>
      </c>
    </row>
    <row r="1891" spans="2:4" ht="13.25" customHeight="1">
      <c r="B1891" s="203">
        <v>43719</v>
      </c>
      <c r="C1891" s="202">
        <v>8.3186450000000001</v>
      </c>
      <c r="D1891" s="202">
        <v>2.2613340000000002</v>
      </c>
    </row>
    <row r="1892" spans="2:4" ht="13.25" customHeight="1">
      <c r="B1892" s="203">
        <v>43720</v>
      </c>
      <c r="C1892" s="202">
        <v>8.4575359999999993</v>
      </c>
      <c r="D1892" s="202">
        <v>2.4204539999999999</v>
      </c>
    </row>
    <row r="1893" spans="2:4" ht="13.25" customHeight="1">
      <c r="B1893" s="203">
        <v>43721</v>
      </c>
      <c r="C1893" s="202">
        <v>8.2789610000000007</v>
      </c>
      <c r="D1893" s="202">
        <v>1.8664590000000001</v>
      </c>
    </row>
    <row r="1894" spans="2:4" ht="13.25" customHeight="1">
      <c r="B1894" s="203">
        <v>43724</v>
      </c>
      <c r="C1894" s="202">
        <v>8.0855040000000002</v>
      </c>
      <c r="D1894" s="202">
        <v>2.5487030000000002</v>
      </c>
    </row>
    <row r="1895" spans="2:4" ht="13.25" customHeight="1">
      <c r="B1895" s="203">
        <v>43725</v>
      </c>
      <c r="C1895" s="202">
        <v>8.1946329999999996</v>
      </c>
      <c r="D1895" s="202">
        <v>2.2057910000000001</v>
      </c>
    </row>
    <row r="1896" spans="2:4" ht="13.25" customHeight="1">
      <c r="B1896" s="203">
        <v>43726</v>
      </c>
      <c r="C1896" s="202">
        <v>8.1648700000000005</v>
      </c>
      <c r="D1896" s="202">
        <v>2.184383</v>
      </c>
    </row>
    <row r="1897" spans="2:4" ht="13.25" customHeight="1">
      <c r="B1897" s="203">
        <v>43727</v>
      </c>
      <c r="C1897" s="202">
        <v>8.1053460000000008</v>
      </c>
      <c r="D1897" s="202">
        <v>2.5214310000000002</v>
      </c>
    </row>
    <row r="1898" spans="2:4" ht="13.25" customHeight="1">
      <c r="B1898" s="203">
        <v>43728</v>
      </c>
      <c r="C1898" s="202">
        <v>8.1251870000000004</v>
      </c>
      <c r="D1898" s="202">
        <v>3.094455</v>
      </c>
    </row>
    <row r="1899" spans="2:4" ht="13.25" customHeight="1">
      <c r="B1899" s="203">
        <v>43731</v>
      </c>
      <c r="C1899" s="202">
        <v>8.1648700000000005</v>
      </c>
      <c r="D1899" s="202">
        <v>1.5038899999999999</v>
      </c>
    </row>
    <row r="1900" spans="2:4" ht="13.25" customHeight="1">
      <c r="B1900" s="203">
        <v>43732</v>
      </c>
      <c r="C1900" s="202">
        <v>8.2839209999999994</v>
      </c>
      <c r="D1900" s="202">
        <v>1.748119</v>
      </c>
    </row>
    <row r="1901" spans="2:4" ht="13.25" customHeight="1">
      <c r="B1901" s="203">
        <v>43733</v>
      </c>
      <c r="C1901" s="202">
        <v>8.1797509999999996</v>
      </c>
      <c r="D1901" s="202">
        <v>1.796387</v>
      </c>
    </row>
    <row r="1902" spans="2:4" ht="13.25" customHeight="1">
      <c r="B1902" s="203">
        <v>43734</v>
      </c>
      <c r="C1902" s="202">
        <v>8.3236050000000006</v>
      </c>
      <c r="D1902" s="202">
        <v>1.8348279999999999</v>
      </c>
    </row>
    <row r="1903" spans="2:4" ht="13.25" customHeight="1">
      <c r="B1903" s="203">
        <v>43735</v>
      </c>
      <c r="C1903" s="202">
        <v>8.1847119999999993</v>
      </c>
      <c r="D1903" s="202">
        <v>2.0669789999999999</v>
      </c>
    </row>
    <row r="1904" spans="2:4" ht="13.25" customHeight="1">
      <c r="B1904" s="203">
        <v>43738</v>
      </c>
      <c r="C1904" s="202">
        <v>8.2243960000000005</v>
      </c>
      <c r="D1904" s="202">
        <v>1.920865</v>
      </c>
    </row>
    <row r="1905" spans="2:4" ht="13.25" customHeight="1">
      <c r="B1905" s="203">
        <v>43739</v>
      </c>
      <c r="C1905" s="202">
        <v>8.2343170000000008</v>
      </c>
      <c r="D1905" s="202">
        <v>2.486383</v>
      </c>
    </row>
    <row r="1906" spans="2:4" ht="13.25" customHeight="1">
      <c r="B1906" s="203">
        <v>43740</v>
      </c>
      <c r="C1906" s="202">
        <v>7.9912559999999999</v>
      </c>
      <c r="D1906" s="202">
        <v>3.0557970000000001</v>
      </c>
    </row>
    <row r="1907" spans="2:4" ht="13.25" customHeight="1">
      <c r="B1907" s="203">
        <v>43741</v>
      </c>
      <c r="C1907" s="202">
        <v>8.1351080000000007</v>
      </c>
      <c r="D1907" s="202">
        <v>2.279779</v>
      </c>
    </row>
    <row r="1908" spans="2:4" ht="13.25" customHeight="1">
      <c r="B1908" s="203">
        <v>43742</v>
      </c>
      <c r="C1908" s="202">
        <v>8.2839209999999994</v>
      </c>
      <c r="D1908" s="202">
        <v>2.0371090000000001</v>
      </c>
    </row>
    <row r="1909" spans="2:4" ht="13.25" customHeight="1">
      <c r="B1909" s="203">
        <v>43745</v>
      </c>
      <c r="C1909" s="202">
        <v>8.3285660000000004</v>
      </c>
      <c r="D1909" s="202">
        <v>1.385594</v>
      </c>
    </row>
    <row r="1910" spans="2:4" ht="13.25" customHeight="1">
      <c r="B1910" s="203">
        <v>43746</v>
      </c>
      <c r="C1910" s="202">
        <v>8.3186450000000001</v>
      </c>
      <c r="D1910" s="202">
        <v>1.63124</v>
      </c>
    </row>
    <row r="1911" spans="2:4" ht="13.25" customHeight="1">
      <c r="B1911" s="203">
        <v>43747</v>
      </c>
      <c r="C1911" s="202">
        <v>8.3831290000000003</v>
      </c>
      <c r="D1911" s="202">
        <v>1.5500620000000001</v>
      </c>
    </row>
    <row r="1912" spans="2:4" ht="13.25" customHeight="1">
      <c r="B1912" s="203">
        <v>43748</v>
      </c>
      <c r="C1912" s="202">
        <v>8.4029710000000009</v>
      </c>
      <c r="D1912" s="202">
        <v>1.9891570000000001</v>
      </c>
    </row>
    <row r="1913" spans="2:4" ht="13.25" customHeight="1">
      <c r="B1913" s="203">
        <v>43749</v>
      </c>
      <c r="C1913" s="202">
        <v>8.4178519999999999</v>
      </c>
      <c r="D1913" s="202">
        <v>2.4280010000000001</v>
      </c>
    </row>
    <row r="1914" spans="2:4" ht="13.25" customHeight="1">
      <c r="B1914" s="203">
        <v>43752</v>
      </c>
      <c r="C1914" s="202">
        <v>8.4228120000000004</v>
      </c>
      <c r="D1914" s="202">
        <v>1.3106679999999999</v>
      </c>
    </row>
    <row r="1915" spans="2:4" ht="13.25" customHeight="1">
      <c r="B1915" s="203">
        <v>43753</v>
      </c>
      <c r="C1915" s="202">
        <v>8.4178519999999999</v>
      </c>
      <c r="D1915" s="202">
        <v>1.5501929999999999</v>
      </c>
    </row>
    <row r="1916" spans="2:4" ht="13.25" customHeight="1">
      <c r="B1916" s="203">
        <v>43754</v>
      </c>
      <c r="C1916" s="202">
        <v>8.2938410000000005</v>
      </c>
      <c r="D1916" s="202">
        <v>1.9226240000000001</v>
      </c>
    </row>
    <row r="1917" spans="2:4" ht="13.25" customHeight="1">
      <c r="B1917" s="203">
        <v>43755</v>
      </c>
      <c r="C1917" s="202">
        <v>8.2144750000000002</v>
      </c>
      <c r="D1917" s="202">
        <v>2.2327840000000001</v>
      </c>
    </row>
    <row r="1918" spans="2:4" ht="13.25" customHeight="1">
      <c r="B1918" s="203">
        <v>43756</v>
      </c>
      <c r="C1918" s="202">
        <v>8.0259789999999995</v>
      </c>
      <c r="D1918" s="202">
        <v>3.4192260000000001</v>
      </c>
    </row>
    <row r="1919" spans="2:4" ht="13.25" customHeight="1">
      <c r="B1919" s="203">
        <v>43759</v>
      </c>
      <c r="C1919" s="202">
        <v>7.9962160000000004</v>
      </c>
      <c r="D1919" s="202">
        <v>3.2779289999999999</v>
      </c>
    </row>
    <row r="1920" spans="2:4" ht="13.25" customHeight="1">
      <c r="B1920" s="203">
        <v>43760</v>
      </c>
      <c r="C1920" s="202">
        <v>7.8474029999999999</v>
      </c>
      <c r="D1920" s="202">
        <v>3.1084719999999999</v>
      </c>
    </row>
    <row r="1921" spans="2:4" ht="13.25" customHeight="1">
      <c r="B1921" s="203">
        <v>43761</v>
      </c>
      <c r="C1921" s="202">
        <v>7.9118890000000004</v>
      </c>
      <c r="D1921" s="202">
        <v>2.3345189999999998</v>
      </c>
    </row>
    <row r="1922" spans="2:4" ht="13.25" customHeight="1">
      <c r="B1922" s="203">
        <v>43762</v>
      </c>
      <c r="C1922" s="202">
        <v>7.9664529999999996</v>
      </c>
      <c r="D1922" s="202">
        <v>1.8171349999999999</v>
      </c>
    </row>
    <row r="1923" spans="2:4" ht="13.25" customHeight="1">
      <c r="B1923" s="203">
        <v>43763</v>
      </c>
      <c r="C1923" s="202">
        <v>8.1152669999999993</v>
      </c>
      <c r="D1923" s="202">
        <v>3.350765</v>
      </c>
    </row>
    <row r="1924" spans="2:4" ht="13.25" customHeight="1">
      <c r="B1924" s="203">
        <v>43766</v>
      </c>
      <c r="C1924" s="202">
        <v>8.1152669999999993</v>
      </c>
      <c r="D1924" s="202">
        <v>1.6691100000000001</v>
      </c>
    </row>
    <row r="1925" spans="2:4" ht="13.25" customHeight="1">
      <c r="B1925" s="203">
        <v>43767</v>
      </c>
      <c r="C1925" s="202">
        <v>8.2144750000000002</v>
      </c>
      <c r="D1925" s="202">
        <v>5.7281810000000002</v>
      </c>
    </row>
    <row r="1926" spans="2:4" ht="13.25" customHeight="1">
      <c r="B1926" s="203">
        <v>43768</v>
      </c>
      <c r="C1926" s="202">
        <v>8.0904640000000008</v>
      </c>
      <c r="D1926" s="202">
        <v>2.2225100000000002</v>
      </c>
    </row>
    <row r="1927" spans="2:4" ht="13.25" customHeight="1">
      <c r="B1927" s="203">
        <v>43769</v>
      </c>
      <c r="C1927" s="202">
        <v>8.1499889999999997</v>
      </c>
      <c r="D1927" s="202">
        <v>1.8680049999999999</v>
      </c>
    </row>
    <row r="1928" spans="2:4" ht="13.25" customHeight="1">
      <c r="B1928" s="203">
        <v>43770</v>
      </c>
      <c r="C1928" s="202">
        <v>8.1549499999999995</v>
      </c>
      <c r="D1928" s="202">
        <v>1.2006829999999999</v>
      </c>
    </row>
    <row r="1929" spans="2:4" ht="13.25" customHeight="1">
      <c r="B1929" s="203">
        <v>43773</v>
      </c>
      <c r="C1929" s="202">
        <v>8.2144750000000002</v>
      </c>
      <c r="D1929" s="202">
        <v>1.815707</v>
      </c>
    </row>
    <row r="1930" spans="2:4" ht="13.25" customHeight="1">
      <c r="B1930" s="203">
        <v>43774</v>
      </c>
      <c r="C1930" s="202">
        <v>8.2789610000000007</v>
      </c>
      <c r="D1930" s="202">
        <v>2.6783239999999999</v>
      </c>
    </row>
    <row r="1931" spans="2:4" ht="13.25" customHeight="1">
      <c r="B1931" s="203">
        <v>43775</v>
      </c>
      <c r="C1931" s="202">
        <v>8.2343170000000008</v>
      </c>
      <c r="D1931" s="202">
        <v>3.595818</v>
      </c>
    </row>
    <row r="1932" spans="2:4" ht="13.25" customHeight="1">
      <c r="B1932" s="203">
        <v>43776</v>
      </c>
      <c r="C1932" s="202">
        <v>8.1549499999999995</v>
      </c>
      <c r="D1932" s="202">
        <v>2.1059809999999999</v>
      </c>
    </row>
    <row r="1933" spans="2:4" ht="13.25" customHeight="1">
      <c r="B1933" s="203">
        <v>43777</v>
      </c>
      <c r="C1933" s="202">
        <v>8.2045549999999992</v>
      </c>
      <c r="D1933" s="202">
        <v>2.3426710000000002</v>
      </c>
    </row>
    <row r="1934" spans="2:4" ht="13.25" customHeight="1">
      <c r="B1934" s="203">
        <v>43780</v>
      </c>
      <c r="C1934" s="202">
        <v>8.1747910000000008</v>
      </c>
      <c r="D1934" s="202">
        <v>1.738386</v>
      </c>
    </row>
    <row r="1935" spans="2:4" ht="13.25" customHeight="1">
      <c r="B1935" s="203">
        <v>43781</v>
      </c>
      <c r="C1935" s="202">
        <v>8.1351080000000007</v>
      </c>
      <c r="D1935" s="202">
        <v>2.5512920000000001</v>
      </c>
    </row>
    <row r="1936" spans="2:4" ht="13.25" customHeight="1">
      <c r="B1936" s="203">
        <v>43782</v>
      </c>
      <c r="C1936" s="202">
        <v>8.1301469999999991</v>
      </c>
      <c r="D1936" s="202">
        <v>2.4211079999999998</v>
      </c>
    </row>
    <row r="1937" spans="2:4" ht="13.25" customHeight="1">
      <c r="B1937" s="203">
        <v>43783</v>
      </c>
      <c r="C1937" s="202">
        <v>8.1450289999999992</v>
      </c>
      <c r="D1937" s="202">
        <v>1.3340810000000001</v>
      </c>
    </row>
    <row r="1938" spans="2:4" ht="13.25" customHeight="1">
      <c r="B1938" s="203">
        <v>43784</v>
      </c>
      <c r="C1938" s="202">
        <v>8.2690400000000004</v>
      </c>
      <c r="D1938" s="202">
        <v>1.967738</v>
      </c>
    </row>
    <row r="1939" spans="2:4" ht="13.25" customHeight="1">
      <c r="B1939" s="203">
        <v>43787</v>
      </c>
      <c r="C1939" s="202">
        <v>8.2690400000000004</v>
      </c>
      <c r="D1939" s="202">
        <v>1.584079</v>
      </c>
    </row>
    <row r="1940" spans="2:4" ht="13.25" customHeight="1">
      <c r="B1940" s="203">
        <v>43788</v>
      </c>
      <c r="C1940" s="202">
        <v>8.1946329999999996</v>
      </c>
      <c r="D1940" s="202">
        <v>1.5627139999999999</v>
      </c>
    </row>
    <row r="1941" spans="2:4" ht="13.25" customHeight="1">
      <c r="B1941" s="203">
        <v>43789</v>
      </c>
      <c r="C1941" s="202">
        <v>8.2343170000000008</v>
      </c>
      <c r="D1941" s="202">
        <v>1.8999900000000001</v>
      </c>
    </row>
    <row r="1942" spans="2:4" ht="13.25" customHeight="1">
      <c r="B1942" s="203">
        <v>43790</v>
      </c>
      <c r="C1942" s="202">
        <v>8.2491979999999998</v>
      </c>
      <c r="D1942" s="202">
        <v>1.4953479999999999</v>
      </c>
    </row>
    <row r="1943" spans="2:4" ht="13.25" customHeight="1">
      <c r="B1943" s="203">
        <v>43791</v>
      </c>
      <c r="C1943" s="202">
        <v>8.2095149999999997</v>
      </c>
      <c r="D1943" s="202">
        <v>1.4085160000000001</v>
      </c>
    </row>
    <row r="1944" spans="2:4" ht="13.25" customHeight="1">
      <c r="B1944" s="203">
        <v>43794</v>
      </c>
      <c r="C1944" s="202">
        <v>8.2491979999999998</v>
      </c>
      <c r="D1944" s="202">
        <v>2.7792490000000001</v>
      </c>
    </row>
    <row r="1945" spans="2:4" ht="13.25" customHeight="1">
      <c r="B1945" s="203">
        <v>43795</v>
      </c>
      <c r="C1945" s="202">
        <v>8.3930500000000006</v>
      </c>
      <c r="D1945" s="202">
        <v>3.6534719999999998</v>
      </c>
    </row>
    <row r="1946" spans="2:4" ht="13.25" customHeight="1">
      <c r="B1946" s="203">
        <v>43796</v>
      </c>
      <c r="C1946" s="202">
        <v>8.3980110000000003</v>
      </c>
      <c r="D1946" s="202">
        <v>1.7870919999999999</v>
      </c>
    </row>
    <row r="1947" spans="2:4" ht="13.25" customHeight="1">
      <c r="B1947" s="203">
        <v>43797</v>
      </c>
      <c r="C1947" s="202">
        <v>8.3335249999999998</v>
      </c>
      <c r="D1947" s="202">
        <v>0.93988700000000003</v>
      </c>
    </row>
    <row r="1948" spans="2:4" ht="13.25" customHeight="1">
      <c r="B1948" s="203">
        <v>43798</v>
      </c>
      <c r="C1948" s="202">
        <v>8.219436</v>
      </c>
      <c r="D1948" s="202">
        <v>1.595742</v>
      </c>
    </row>
    <row r="1949" spans="2:4" ht="13.25" customHeight="1">
      <c r="B1949" s="203">
        <v>43801</v>
      </c>
      <c r="C1949" s="202">
        <v>8.0557409999999994</v>
      </c>
      <c r="D1949" s="202">
        <v>2.661146</v>
      </c>
    </row>
    <row r="1950" spans="2:4" ht="13.25" customHeight="1">
      <c r="B1950" s="203">
        <v>43802</v>
      </c>
      <c r="C1950" s="202">
        <v>8.0954250000000005</v>
      </c>
      <c r="D1950" s="202">
        <v>1.7945770000000001</v>
      </c>
    </row>
    <row r="1951" spans="2:4" ht="13.25" customHeight="1">
      <c r="B1951" s="203">
        <v>43803</v>
      </c>
      <c r="C1951" s="202">
        <v>8.1053460000000008</v>
      </c>
      <c r="D1951" s="202">
        <v>1.435343</v>
      </c>
    </row>
    <row r="1952" spans="2:4" ht="13.25" customHeight="1">
      <c r="B1952" s="203">
        <v>43804</v>
      </c>
      <c r="C1952" s="202">
        <v>8.1053460000000008</v>
      </c>
      <c r="D1952" s="202">
        <v>1.556325</v>
      </c>
    </row>
    <row r="1953" spans="2:4" ht="13.25" customHeight="1">
      <c r="B1953" s="203">
        <v>43805</v>
      </c>
      <c r="C1953" s="202">
        <v>8.1301469999999991</v>
      </c>
      <c r="D1953" s="202">
        <v>1.328255</v>
      </c>
    </row>
    <row r="1954" spans="2:4" ht="13.25" customHeight="1">
      <c r="B1954" s="203">
        <v>43808</v>
      </c>
      <c r="C1954" s="202">
        <v>8.1003849999999993</v>
      </c>
      <c r="D1954" s="202">
        <v>1.9162129999999999</v>
      </c>
    </row>
    <row r="1955" spans="2:4" ht="13.25" customHeight="1">
      <c r="B1955" s="203">
        <v>43809</v>
      </c>
      <c r="C1955" s="202">
        <v>8.1202269999999999</v>
      </c>
      <c r="D1955" s="202">
        <v>1.855432</v>
      </c>
    </row>
    <row r="1956" spans="2:4" ht="13.25" customHeight="1">
      <c r="B1956" s="203">
        <v>43810</v>
      </c>
      <c r="C1956" s="202">
        <v>8.15991</v>
      </c>
      <c r="D1956" s="202">
        <v>1.3475330000000001</v>
      </c>
    </row>
    <row r="1957" spans="2:4" ht="13.25" customHeight="1">
      <c r="B1957" s="203">
        <v>43811</v>
      </c>
      <c r="C1957" s="202">
        <v>8.1152669999999993</v>
      </c>
      <c r="D1957" s="202">
        <v>1.553407</v>
      </c>
    </row>
    <row r="1958" spans="2:4" ht="13.25" customHeight="1">
      <c r="B1958" s="203">
        <v>43812</v>
      </c>
      <c r="C1958" s="202">
        <v>7.9962160000000004</v>
      </c>
      <c r="D1958" s="202">
        <v>3.0742919999999998</v>
      </c>
    </row>
    <row r="1959" spans="2:4" ht="13.25" customHeight="1">
      <c r="B1959" s="203">
        <v>43815</v>
      </c>
      <c r="C1959" s="202">
        <v>8.0706220000000002</v>
      </c>
      <c r="D1959" s="202">
        <v>1.34144</v>
      </c>
    </row>
    <row r="1960" spans="2:4" ht="13.25" customHeight="1">
      <c r="B1960" s="203">
        <v>43816</v>
      </c>
      <c r="C1960" s="202">
        <v>8.0706220000000002</v>
      </c>
      <c r="D1960" s="202">
        <v>2.0107689999999998</v>
      </c>
    </row>
    <row r="1961" spans="2:4" ht="13.25" customHeight="1">
      <c r="B1961" s="203">
        <v>43817</v>
      </c>
      <c r="C1961" s="202">
        <v>8.1301469999999991</v>
      </c>
      <c r="D1961" s="202">
        <v>1.4960180000000001</v>
      </c>
    </row>
    <row r="1962" spans="2:4" ht="13.25" customHeight="1">
      <c r="B1962" s="203">
        <v>43818</v>
      </c>
      <c r="C1962" s="202">
        <v>8.075583</v>
      </c>
      <c r="D1962" s="202">
        <v>2.208307</v>
      </c>
    </row>
    <row r="1963" spans="2:4" ht="13.25" customHeight="1">
      <c r="B1963" s="203">
        <v>43819</v>
      </c>
      <c r="C1963" s="202">
        <v>8.1896719999999998</v>
      </c>
      <c r="D1963" s="202">
        <v>4.4600299999999997</v>
      </c>
    </row>
    <row r="1964" spans="2:4" ht="13.25" customHeight="1">
      <c r="B1964" s="203">
        <v>43822</v>
      </c>
      <c r="C1964" s="202">
        <v>8.2293570000000003</v>
      </c>
      <c r="D1964" s="202">
        <v>1.329588</v>
      </c>
    </row>
    <row r="1965" spans="2:4" ht="13.25" customHeight="1">
      <c r="B1965" s="203">
        <v>43826</v>
      </c>
      <c r="C1965" s="202">
        <v>8.1995939999999994</v>
      </c>
      <c r="D1965" s="202">
        <v>0.99581799999999998</v>
      </c>
    </row>
    <row r="1966" spans="2:4" ht="13.25" customHeight="1">
      <c r="B1966" s="203">
        <v>43829</v>
      </c>
      <c r="C1966" s="202">
        <v>8.075583</v>
      </c>
      <c r="D1966" s="202">
        <v>1.1215630000000001</v>
      </c>
    </row>
    <row r="1967" spans="2:4" ht="13.25" customHeight="1">
      <c r="B1967" s="203">
        <v>43832</v>
      </c>
      <c r="C1967" s="202">
        <v>8.0557409999999994</v>
      </c>
      <c r="D1967" s="202">
        <v>1.8428070000000001</v>
      </c>
    </row>
    <row r="1968" spans="2:4" ht="13.25" customHeight="1">
      <c r="B1968" s="203">
        <v>43833</v>
      </c>
      <c r="C1968" s="202">
        <v>8.1152669999999993</v>
      </c>
      <c r="D1968" s="202">
        <v>2.2682500000000001</v>
      </c>
    </row>
    <row r="1969" spans="2:4" ht="13.25" customHeight="1">
      <c r="B1969" s="203">
        <v>43836</v>
      </c>
      <c r="C1969" s="202">
        <v>8.0855040000000002</v>
      </c>
      <c r="D1969" s="202">
        <v>2.3961510000000001</v>
      </c>
    </row>
    <row r="1970" spans="2:4" ht="13.25" customHeight="1">
      <c r="B1970" s="203">
        <v>43837</v>
      </c>
      <c r="C1970" s="202">
        <v>7.9862950000000001</v>
      </c>
      <c r="D1970" s="202">
        <v>2.4690059999999998</v>
      </c>
    </row>
    <row r="1971" spans="2:4" ht="13.25" customHeight="1">
      <c r="B1971" s="203">
        <v>43838</v>
      </c>
      <c r="C1971" s="202">
        <v>8.0507799999999996</v>
      </c>
      <c r="D1971" s="202">
        <v>1.9835910000000001</v>
      </c>
    </row>
    <row r="1972" spans="2:4" ht="13.25" customHeight="1">
      <c r="B1972" s="203">
        <v>43839</v>
      </c>
      <c r="C1972" s="202">
        <v>8.15991</v>
      </c>
      <c r="D1972" s="202">
        <v>3.986415</v>
      </c>
    </row>
    <row r="1973" spans="2:4" ht="13.25" customHeight="1">
      <c r="B1973" s="203">
        <v>43840</v>
      </c>
      <c r="C1973" s="202">
        <v>8.0507799999999996</v>
      </c>
      <c r="D1973" s="202">
        <v>2.2385030000000001</v>
      </c>
    </row>
    <row r="1974" spans="2:4" ht="13.25" customHeight="1">
      <c r="B1974" s="203">
        <v>43843</v>
      </c>
      <c r="C1974" s="202">
        <v>8.0507799999999996</v>
      </c>
      <c r="D1974" s="202">
        <v>2.0121169999999999</v>
      </c>
    </row>
    <row r="1975" spans="2:4" ht="13.25" customHeight="1">
      <c r="B1975" s="203">
        <v>43844</v>
      </c>
      <c r="C1975" s="202">
        <v>8.1400679999999994</v>
      </c>
      <c r="D1975" s="202">
        <v>2.5255800000000002</v>
      </c>
    </row>
    <row r="1976" spans="2:4" ht="13.25" customHeight="1">
      <c r="B1976" s="203">
        <v>43845</v>
      </c>
      <c r="C1976" s="202">
        <v>8.2045549999999992</v>
      </c>
      <c r="D1976" s="202">
        <v>4.2246370000000004</v>
      </c>
    </row>
    <row r="1977" spans="2:4" ht="13.25" customHeight="1">
      <c r="B1977" s="203">
        <v>43846</v>
      </c>
      <c r="C1977" s="202">
        <v>8.3632880000000007</v>
      </c>
      <c r="D1977" s="202">
        <v>7.1279009999999996</v>
      </c>
    </row>
    <row r="1978" spans="2:4" ht="13.25" customHeight="1">
      <c r="B1978" s="203">
        <v>43847</v>
      </c>
      <c r="C1978" s="202">
        <v>8.5865069999999992</v>
      </c>
      <c r="D1978" s="202">
        <v>4.1421549999999998</v>
      </c>
    </row>
    <row r="1979" spans="2:4" ht="13.25" customHeight="1">
      <c r="B1979" s="203">
        <v>43850</v>
      </c>
      <c r="C1979" s="202">
        <v>8.5418629999999993</v>
      </c>
      <c r="D1979" s="202">
        <v>1.480729</v>
      </c>
    </row>
    <row r="1980" spans="2:4" ht="13.25" customHeight="1">
      <c r="B1980" s="203">
        <v>43851</v>
      </c>
      <c r="C1980" s="202">
        <v>8.5071399999999997</v>
      </c>
      <c r="D1980" s="202">
        <v>1.913173</v>
      </c>
    </row>
    <row r="1981" spans="2:4" ht="13.25" customHeight="1">
      <c r="B1981" s="203">
        <v>43852</v>
      </c>
      <c r="C1981" s="202">
        <v>8.5914680000000008</v>
      </c>
      <c r="D1981" s="202">
        <v>1.85368</v>
      </c>
    </row>
    <row r="1982" spans="2:4" ht="13.25" customHeight="1">
      <c r="B1982" s="203">
        <v>43853</v>
      </c>
      <c r="C1982" s="202">
        <v>8.5617059999999992</v>
      </c>
      <c r="D1982" s="202">
        <v>1.4845060000000001</v>
      </c>
    </row>
    <row r="1983" spans="2:4" ht="13.25" customHeight="1">
      <c r="B1983" s="203">
        <v>43854</v>
      </c>
      <c r="C1983" s="202">
        <v>8.6509929999999997</v>
      </c>
      <c r="D1983" s="202">
        <v>2.1396600000000001</v>
      </c>
    </row>
    <row r="1984" spans="2:4" ht="13.25" customHeight="1">
      <c r="B1984" s="203">
        <v>43857</v>
      </c>
      <c r="C1984" s="202">
        <v>8.6311509999999991</v>
      </c>
      <c r="D1984" s="202">
        <v>3.6701709999999999</v>
      </c>
    </row>
    <row r="1985" spans="2:4" ht="13.25" customHeight="1">
      <c r="B1985" s="203">
        <v>43858</v>
      </c>
      <c r="C1985" s="202">
        <v>8.6906770000000009</v>
      </c>
      <c r="D1985" s="202">
        <v>2.0499179999999999</v>
      </c>
    </row>
    <row r="1986" spans="2:4" ht="13.25" customHeight="1">
      <c r="B1986" s="203">
        <v>43859</v>
      </c>
      <c r="C1986" s="202">
        <v>8.8146880000000003</v>
      </c>
      <c r="D1986" s="202">
        <v>1.817148</v>
      </c>
    </row>
    <row r="1987" spans="2:4" ht="13.25" customHeight="1">
      <c r="B1987" s="203">
        <v>43860</v>
      </c>
      <c r="C1987" s="202">
        <v>8.7502010000000006</v>
      </c>
      <c r="D1987" s="202">
        <v>2.5065409999999999</v>
      </c>
    </row>
    <row r="1988" spans="2:4" ht="13.25" customHeight="1">
      <c r="B1988" s="203">
        <v>43861</v>
      </c>
      <c r="C1988" s="202">
        <v>8.6609130000000007</v>
      </c>
      <c r="D1988" s="202">
        <v>2.766664</v>
      </c>
    </row>
    <row r="1989" spans="2:4" ht="13.25" customHeight="1">
      <c r="B1989" s="203">
        <v>43864</v>
      </c>
      <c r="C1989" s="202">
        <v>8.7799639999999997</v>
      </c>
      <c r="D1989" s="202">
        <v>1.8578209999999999</v>
      </c>
    </row>
    <row r="1990" spans="2:4" ht="13.25" customHeight="1">
      <c r="B1990" s="203">
        <v>43865</v>
      </c>
      <c r="C1990" s="202">
        <v>8.8543710000000004</v>
      </c>
      <c r="D1990" s="202">
        <v>2.7940239999999998</v>
      </c>
    </row>
    <row r="1991" spans="2:4" ht="13.25" customHeight="1">
      <c r="B1991" s="203">
        <v>43866</v>
      </c>
      <c r="C1991" s="202">
        <v>8.8990139999999993</v>
      </c>
      <c r="D1991" s="202">
        <v>2.1467200000000002</v>
      </c>
    </row>
    <row r="1992" spans="2:4" ht="13.25" customHeight="1">
      <c r="B1992" s="203">
        <v>43867</v>
      </c>
      <c r="C1992" s="202">
        <v>8.9734210000000001</v>
      </c>
      <c r="D1992" s="202">
        <v>3.7836569999999998</v>
      </c>
    </row>
    <row r="1993" spans="2:4" ht="13.25" customHeight="1">
      <c r="B1993" s="203">
        <v>43868</v>
      </c>
      <c r="C1993" s="202">
        <v>8.9486190000000008</v>
      </c>
      <c r="D1993" s="202">
        <v>1.58693</v>
      </c>
    </row>
    <row r="1994" spans="2:4" ht="13.25" customHeight="1">
      <c r="B1994" s="203">
        <v>43871</v>
      </c>
      <c r="C1994" s="202">
        <v>8.9932619999999996</v>
      </c>
      <c r="D1994" s="202">
        <v>1.1847939999999999</v>
      </c>
    </row>
    <row r="1995" spans="2:4" ht="13.25" customHeight="1">
      <c r="B1995" s="203">
        <v>43872</v>
      </c>
      <c r="C1995" s="202">
        <v>8.958539</v>
      </c>
      <c r="D1995" s="202">
        <v>1.645197</v>
      </c>
    </row>
    <row r="1996" spans="2:4" ht="13.25" customHeight="1">
      <c r="B1996" s="203">
        <v>43873</v>
      </c>
      <c r="C1996" s="202">
        <v>8.9982229999999994</v>
      </c>
      <c r="D1996" s="202">
        <v>1.9550259999999999</v>
      </c>
    </row>
    <row r="1997" spans="2:4" ht="13.25" customHeight="1">
      <c r="B1997" s="203">
        <v>43874</v>
      </c>
      <c r="C1997" s="202">
        <v>8.8990139999999993</v>
      </c>
      <c r="D1997" s="202">
        <v>2.4319570000000001</v>
      </c>
    </row>
    <row r="1998" spans="2:4" ht="13.25" customHeight="1">
      <c r="B1998" s="203">
        <v>43875</v>
      </c>
      <c r="C1998" s="202">
        <v>8.8890930000000008</v>
      </c>
      <c r="D1998" s="202">
        <v>1.968906</v>
      </c>
    </row>
    <row r="1999" spans="2:4" ht="13.25" customHeight="1">
      <c r="B1999" s="203">
        <v>43878</v>
      </c>
      <c r="C1999" s="202">
        <v>8.8394890000000004</v>
      </c>
      <c r="D1999" s="202">
        <v>2.967031</v>
      </c>
    </row>
    <row r="2000" spans="2:4" ht="13.25" customHeight="1">
      <c r="B2000" s="203">
        <v>43879</v>
      </c>
      <c r="C2000" s="202">
        <v>8.9138959999999994</v>
      </c>
      <c r="D2000" s="202">
        <v>2.0471339999999998</v>
      </c>
    </row>
    <row r="2001" spans="2:4" ht="13.25" customHeight="1">
      <c r="B2001" s="203">
        <v>43880</v>
      </c>
      <c r="C2001" s="202">
        <v>8.6113099999999996</v>
      </c>
      <c r="D2001" s="202">
        <v>7.2663029999999997</v>
      </c>
    </row>
    <row r="2002" spans="2:4" ht="13.25" customHeight="1">
      <c r="B2002" s="203">
        <v>43881</v>
      </c>
      <c r="C2002" s="202">
        <v>8.4525769999999998</v>
      </c>
      <c r="D2002" s="202">
        <v>3.363629</v>
      </c>
    </row>
    <row r="2003" spans="2:4" ht="13.25" customHeight="1">
      <c r="B2003" s="203">
        <v>43882</v>
      </c>
      <c r="C2003" s="202">
        <v>8.4823389999999996</v>
      </c>
      <c r="D2003" s="202">
        <v>2.5455109999999999</v>
      </c>
    </row>
    <row r="2004" spans="2:4" ht="13.25" customHeight="1">
      <c r="B2004" s="203">
        <v>43885</v>
      </c>
      <c r="C2004" s="202">
        <v>8.0160579999999992</v>
      </c>
      <c r="D2004" s="202">
        <v>6.1834049999999996</v>
      </c>
    </row>
    <row r="2005" spans="2:4" ht="13.25" customHeight="1">
      <c r="B2005" s="203">
        <v>43886</v>
      </c>
      <c r="C2005" s="202">
        <v>7.9763739999999999</v>
      </c>
      <c r="D2005" s="202">
        <v>4.4226190000000001</v>
      </c>
    </row>
    <row r="2006" spans="2:4" ht="13.25" customHeight="1">
      <c r="B2006" s="203">
        <v>43887</v>
      </c>
      <c r="C2006" s="202">
        <v>8.0607009999999999</v>
      </c>
      <c r="D2006" s="202">
        <v>5.5102000000000002</v>
      </c>
    </row>
    <row r="2007" spans="2:4" ht="13.25" customHeight="1">
      <c r="B2007" s="203">
        <v>43888</v>
      </c>
      <c r="C2007" s="202">
        <v>7.7085109999999997</v>
      </c>
      <c r="D2007" s="202">
        <v>5.558643</v>
      </c>
    </row>
    <row r="2008" spans="2:4" ht="13.25" customHeight="1">
      <c r="B2008" s="203">
        <v>43889</v>
      </c>
      <c r="C2008" s="202">
        <v>7.4803309999999996</v>
      </c>
      <c r="D2008" s="202">
        <v>6.4971160000000001</v>
      </c>
    </row>
    <row r="2009" spans="2:4" ht="13.25" customHeight="1">
      <c r="B2009" s="203">
        <v>43892</v>
      </c>
      <c r="C2009" s="202">
        <v>7.4307270000000001</v>
      </c>
      <c r="D2009" s="202">
        <v>4.5570389999999996</v>
      </c>
    </row>
    <row r="2010" spans="2:4" ht="13.25" customHeight="1">
      <c r="B2010" s="203">
        <v>43893</v>
      </c>
      <c r="C2010" s="202">
        <v>7.559698</v>
      </c>
      <c r="D2010" s="202">
        <v>3.2097530000000001</v>
      </c>
    </row>
    <row r="2011" spans="2:4" ht="13.25" customHeight="1">
      <c r="B2011" s="203">
        <v>43894</v>
      </c>
      <c r="C2011" s="202">
        <v>7.6241839999999996</v>
      </c>
      <c r="D2011" s="202">
        <v>3.8130660000000001</v>
      </c>
    </row>
    <row r="2012" spans="2:4" ht="13.25" customHeight="1">
      <c r="B2012" s="203">
        <v>43895</v>
      </c>
      <c r="C2012" s="202">
        <v>7.5993810000000002</v>
      </c>
      <c r="D2012" s="202">
        <v>3.6669429999999998</v>
      </c>
    </row>
    <row r="2013" spans="2:4" ht="13.25" customHeight="1">
      <c r="B2013" s="203">
        <v>43896</v>
      </c>
      <c r="C2013" s="202">
        <v>7.3464</v>
      </c>
      <c r="D2013" s="202">
        <v>5.1040539999999996</v>
      </c>
    </row>
    <row r="2014" spans="2:4" ht="13.25" customHeight="1">
      <c r="B2014" s="203">
        <v>43899</v>
      </c>
      <c r="C2014" s="202">
        <v>6.9346829999999997</v>
      </c>
      <c r="D2014" s="202">
        <v>7.7603790000000004</v>
      </c>
    </row>
    <row r="2015" spans="2:4" ht="13.25" customHeight="1">
      <c r="B2015" s="203">
        <v>43900</v>
      </c>
      <c r="C2015" s="202">
        <v>6.9346829999999997</v>
      </c>
      <c r="D2015" s="202">
        <v>0</v>
      </c>
    </row>
    <row r="2016" spans="2:4" ht="13.25" customHeight="1">
      <c r="B2016" s="203">
        <v>43901</v>
      </c>
      <c r="C2016" s="202">
        <v>6.587453</v>
      </c>
      <c r="D2016" s="202">
        <v>7.413653</v>
      </c>
    </row>
    <row r="2017" spans="2:4" ht="13.25" customHeight="1">
      <c r="B2017" s="203">
        <v>43902</v>
      </c>
      <c r="C2017" s="202">
        <v>5.5259210000000003</v>
      </c>
      <c r="D2017" s="202">
        <v>11.611613</v>
      </c>
    </row>
    <row r="2018" spans="2:4" ht="13.25" customHeight="1">
      <c r="B2018" s="203">
        <v>43903</v>
      </c>
      <c r="C2018" s="202">
        <v>5.7441800000000001</v>
      </c>
      <c r="D2018" s="202">
        <v>12.825589000000001</v>
      </c>
    </row>
    <row r="2019" spans="2:4" ht="13.25" customHeight="1">
      <c r="B2019" s="203">
        <v>43906</v>
      </c>
      <c r="C2019" s="202">
        <v>5.5705650000000002</v>
      </c>
      <c r="D2019" s="202">
        <v>8.0758410000000005</v>
      </c>
    </row>
    <row r="2020" spans="2:4" ht="13.25" customHeight="1">
      <c r="B2020" s="203">
        <v>43907</v>
      </c>
      <c r="C2020" s="202">
        <v>5.4911979999999998</v>
      </c>
      <c r="D2020" s="202">
        <v>8.4480520000000006</v>
      </c>
    </row>
    <row r="2021" spans="2:4" ht="13.25" customHeight="1">
      <c r="B2021" s="203">
        <v>43908</v>
      </c>
      <c r="C2021" s="202">
        <v>6.0765289999999998</v>
      </c>
      <c r="D2021" s="202">
        <v>3.759557</v>
      </c>
    </row>
    <row r="2022" spans="2:4" ht="13.25" customHeight="1">
      <c r="B2022" s="203">
        <v>43909</v>
      </c>
      <c r="C2022" s="202">
        <v>6.6866620000000001</v>
      </c>
      <c r="D2022" s="202">
        <v>4.802009</v>
      </c>
    </row>
    <row r="2023" spans="2:4" ht="13.25" customHeight="1">
      <c r="B2023" s="203">
        <v>43910</v>
      </c>
      <c r="C2023" s="202">
        <v>6.2997480000000001</v>
      </c>
      <c r="D2023" s="202">
        <v>5.6551920000000004</v>
      </c>
    </row>
    <row r="2024" spans="2:4" ht="13.25" customHeight="1">
      <c r="B2024" s="203">
        <v>43913</v>
      </c>
      <c r="C2024" s="202">
        <v>6.2501439999999997</v>
      </c>
      <c r="D2024" s="202">
        <v>2.6029610000000001</v>
      </c>
    </row>
    <row r="2025" spans="2:4" ht="13.25" customHeight="1">
      <c r="B2025" s="203">
        <v>43914</v>
      </c>
      <c r="C2025" s="202">
        <v>6.5229670000000004</v>
      </c>
      <c r="D2025" s="202">
        <v>4.0244960000000001</v>
      </c>
    </row>
    <row r="2026" spans="2:4" ht="13.25" customHeight="1">
      <c r="B2026" s="203">
        <v>43915</v>
      </c>
      <c r="C2026" s="202">
        <v>7.0090899999999996</v>
      </c>
      <c r="D2026" s="202">
        <v>3.940712</v>
      </c>
    </row>
    <row r="2027" spans="2:4" ht="13.25" customHeight="1">
      <c r="B2027" s="203">
        <v>43916</v>
      </c>
      <c r="C2027" s="202">
        <v>7.0834970000000004</v>
      </c>
      <c r="D2027" s="202">
        <v>3.0796869999999998</v>
      </c>
    </row>
    <row r="2028" spans="2:4" ht="13.25" customHeight="1">
      <c r="B2028" s="203">
        <v>43917</v>
      </c>
      <c r="C2028" s="202">
        <v>6.7660289999999996</v>
      </c>
      <c r="D2028" s="202">
        <v>3.0634709999999998</v>
      </c>
    </row>
    <row r="2029" spans="2:4" ht="13.25" customHeight="1">
      <c r="B2029" s="203">
        <v>43920</v>
      </c>
      <c r="C2029" s="202">
        <v>6.5973740000000003</v>
      </c>
      <c r="D2029" s="202">
        <v>2.3398310000000002</v>
      </c>
    </row>
    <row r="2030" spans="2:4" ht="13.25" customHeight="1">
      <c r="B2030" s="203">
        <v>43921</v>
      </c>
      <c r="C2030" s="202">
        <v>6.4981660000000003</v>
      </c>
      <c r="D2030" s="202">
        <v>2.763779</v>
      </c>
    </row>
    <row r="2031" spans="2:4" ht="13.25" customHeight="1">
      <c r="B2031" s="203">
        <v>43922</v>
      </c>
      <c r="C2031" s="202">
        <v>6.2422069999999996</v>
      </c>
      <c r="D2031" s="202">
        <v>4.4835469999999997</v>
      </c>
    </row>
    <row r="2032" spans="2:4" ht="13.25" customHeight="1">
      <c r="B2032" s="203">
        <v>43923</v>
      </c>
      <c r="C2032" s="202">
        <v>6.3275269999999999</v>
      </c>
      <c r="D2032" s="202">
        <v>2.7526510000000002</v>
      </c>
    </row>
    <row r="2033" spans="2:4" ht="13.25" customHeight="1">
      <c r="B2033" s="203">
        <v>43924</v>
      </c>
      <c r="C2033" s="202">
        <v>6.0636320000000001</v>
      </c>
      <c r="D2033" s="202">
        <v>1.7228540000000001</v>
      </c>
    </row>
    <row r="2034" spans="2:4" ht="13.25" customHeight="1">
      <c r="B2034" s="203">
        <v>43927</v>
      </c>
      <c r="C2034" s="202">
        <v>6.6807100000000004</v>
      </c>
      <c r="D2034" s="202">
        <v>3.1614089999999999</v>
      </c>
    </row>
    <row r="2035" spans="2:4" ht="13.25" customHeight="1">
      <c r="B2035" s="203">
        <v>43928</v>
      </c>
      <c r="C2035" s="202">
        <v>6.6072949999999997</v>
      </c>
      <c r="D2035" s="202">
        <v>3.383473</v>
      </c>
    </row>
    <row r="2036" spans="2:4" ht="13.25" customHeight="1">
      <c r="B2036" s="203">
        <v>43929</v>
      </c>
      <c r="C2036" s="202">
        <v>6.5457859999999997</v>
      </c>
      <c r="D2036" s="202">
        <v>1.5506690000000001</v>
      </c>
    </row>
    <row r="2037" spans="2:4" ht="13.25" customHeight="1">
      <c r="B2037" s="203">
        <v>43930</v>
      </c>
      <c r="C2037" s="202">
        <v>6.5775329999999999</v>
      </c>
      <c r="D2037" s="202">
        <v>1.835464</v>
      </c>
    </row>
    <row r="2038" spans="2:4" ht="13.25" customHeight="1">
      <c r="B2038" s="203">
        <v>43935</v>
      </c>
      <c r="C2038" s="202">
        <v>6.6370579999999997</v>
      </c>
      <c r="D2038" s="202">
        <v>1.3087580000000001</v>
      </c>
    </row>
    <row r="2039" spans="2:4" ht="13.25" customHeight="1">
      <c r="B2039" s="203">
        <v>43936</v>
      </c>
      <c r="C2039" s="202">
        <v>6.6350740000000004</v>
      </c>
      <c r="D2039" s="202">
        <v>1.914901</v>
      </c>
    </row>
    <row r="2040" spans="2:4" ht="13.25" customHeight="1">
      <c r="B2040" s="203">
        <v>43937</v>
      </c>
      <c r="C2040" s="202">
        <v>6.7025360000000003</v>
      </c>
      <c r="D2040" s="202">
        <v>1.7914600000000001</v>
      </c>
    </row>
    <row r="2041" spans="2:4" ht="13.25" customHeight="1">
      <c r="B2041" s="203">
        <v>43938</v>
      </c>
      <c r="C2041" s="202">
        <v>6.8949999999999996</v>
      </c>
      <c r="D2041" s="202">
        <v>2.122989</v>
      </c>
    </row>
    <row r="2042" spans="2:4" ht="13.25" customHeight="1">
      <c r="B2042" s="203">
        <v>43941</v>
      </c>
      <c r="C2042" s="202">
        <v>6.73</v>
      </c>
      <c r="D2042" s="202">
        <v>2.1078929999999998</v>
      </c>
    </row>
    <row r="2043" spans="2:4" ht="13.25" customHeight="1">
      <c r="B2043" s="203">
        <v>43942</v>
      </c>
      <c r="C2043" s="202">
        <v>6.6760000000000002</v>
      </c>
      <c r="D2043" s="202">
        <v>1.4426669999999999</v>
      </c>
    </row>
    <row r="2044" spans="2:4" ht="13.25" customHeight="1">
      <c r="B2044" s="203">
        <v>43943</v>
      </c>
      <c r="C2044" s="202">
        <v>6.6580000000000004</v>
      </c>
      <c r="D2044" s="202">
        <v>1.095172</v>
      </c>
    </row>
    <row r="2045" spans="2:4" ht="13.25" customHeight="1">
      <c r="B2045" s="203">
        <v>43944</v>
      </c>
      <c r="C2045" s="202">
        <v>6.62</v>
      </c>
      <c r="D2045" s="202">
        <v>2.0265499999999999</v>
      </c>
    </row>
    <row r="2046" spans="2:4" ht="13.25" customHeight="1">
      <c r="B2046" s="203">
        <v>43945</v>
      </c>
      <c r="C2046" s="202">
        <v>6.6719999999999997</v>
      </c>
      <c r="D2046" s="202">
        <v>0.98711499999999996</v>
      </c>
    </row>
    <row r="2047" spans="2:4" ht="13.25" customHeight="1">
      <c r="B2047" s="203">
        <v>43948</v>
      </c>
      <c r="C2047" s="202">
        <v>6.83</v>
      </c>
      <c r="D2047" s="202">
        <v>1.0405040000000001</v>
      </c>
    </row>
    <row r="2048" spans="2:4" ht="13.25" customHeight="1">
      <c r="B2048" s="203">
        <v>43949</v>
      </c>
      <c r="C2048" s="202">
        <v>6.85</v>
      </c>
      <c r="D2048" s="202">
        <v>1.6239650000000001</v>
      </c>
    </row>
    <row r="2049" spans="2:4" ht="13.25" customHeight="1">
      <c r="B2049" s="203">
        <v>43950</v>
      </c>
      <c r="C2049" s="202">
        <v>7.0339999999999998</v>
      </c>
      <c r="D2049" s="202">
        <v>1.293277</v>
      </c>
    </row>
    <row r="2050" spans="2:4" ht="13.25" customHeight="1">
      <c r="B2050" s="203">
        <v>43951</v>
      </c>
      <c r="C2050" s="202">
        <v>7.07</v>
      </c>
      <c r="D2050" s="202">
        <v>1.769879</v>
      </c>
    </row>
    <row r="2051" spans="2:4" ht="13.25" customHeight="1">
      <c r="B2051" s="203">
        <v>43955</v>
      </c>
      <c r="C2051" s="202">
        <v>6.8579999999999997</v>
      </c>
      <c r="D2051" s="202">
        <v>2.0619100000000001</v>
      </c>
    </row>
    <row r="2052" spans="2:4" ht="13.25" customHeight="1">
      <c r="B2052" s="203">
        <v>43956</v>
      </c>
      <c r="C2052" s="202">
        <v>6.9279999999999999</v>
      </c>
      <c r="D2052" s="202">
        <v>2.0243329999999999</v>
      </c>
    </row>
    <row r="2053" spans="2:4" ht="13.25" customHeight="1">
      <c r="B2053" s="203">
        <v>43957</v>
      </c>
      <c r="C2053" s="202">
        <v>7.0060000000000002</v>
      </c>
      <c r="D2053" s="202">
        <v>2.0368230000000001</v>
      </c>
    </row>
    <row r="2054" spans="2:4" ht="13.25" customHeight="1">
      <c r="B2054" s="203">
        <v>43958</v>
      </c>
      <c r="C2054" s="202">
        <v>7.03</v>
      </c>
      <c r="D2054" s="202">
        <v>1.391402</v>
      </c>
    </row>
    <row r="2055" spans="2:4" ht="13.25" customHeight="1">
      <c r="B2055" s="203">
        <v>43959</v>
      </c>
      <c r="C2055" s="202">
        <v>7.194</v>
      </c>
      <c r="D2055" s="202">
        <v>0.62358599999999997</v>
      </c>
    </row>
    <row r="2056" spans="2:4" ht="13.25" customHeight="1">
      <c r="B2056" s="203">
        <v>43962</v>
      </c>
      <c r="C2056" s="202">
        <v>7.2060000000000004</v>
      </c>
      <c r="D2056" s="202">
        <v>0.64000500000000005</v>
      </c>
    </row>
    <row r="2057" spans="2:4" ht="13.25" customHeight="1">
      <c r="B2057" s="203">
        <v>43963</v>
      </c>
      <c r="C2057" s="202">
        <v>7.3360000000000003</v>
      </c>
      <c r="D2057" s="202">
        <v>0.74594800000000006</v>
      </c>
    </row>
    <row r="2058" spans="2:4" ht="13.25" customHeight="1">
      <c r="B2058" s="203">
        <v>43964</v>
      </c>
      <c r="C2058" s="202">
        <v>7.1840000000000002</v>
      </c>
      <c r="D2058" s="202">
        <v>1.3631139999999999</v>
      </c>
    </row>
    <row r="2059" spans="2:4" ht="13.25" customHeight="1">
      <c r="B2059" s="203">
        <v>43965</v>
      </c>
      <c r="C2059" s="202">
        <v>6.944</v>
      </c>
      <c r="D2059" s="202">
        <v>1.869437</v>
      </c>
    </row>
    <row r="2060" spans="2:4" ht="13.25" customHeight="1">
      <c r="B2060" s="203">
        <v>43966</v>
      </c>
      <c r="C2060" s="202">
        <v>6.9039999999999999</v>
      </c>
      <c r="D2060" s="202">
        <v>1.985565</v>
      </c>
    </row>
    <row r="2061" spans="2:4" ht="13.25" customHeight="1">
      <c r="B2061" s="203">
        <v>43969</v>
      </c>
      <c r="C2061" s="202">
        <v>7.1859999999999999</v>
      </c>
      <c r="D2061" s="202">
        <v>1.9986060000000001</v>
      </c>
    </row>
    <row r="2062" spans="2:4" ht="13.25" customHeight="1">
      <c r="B2062" s="203">
        <v>43970</v>
      </c>
      <c r="C2062" s="202">
        <v>6.742</v>
      </c>
      <c r="D2062" s="202">
        <v>3.8559600000000001</v>
      </c>
    </row>
    <row r="2063" spans="2:4" ht="13.25" customHeight="1">
      <c r="B2063" s="203">
        <v>43971</v>
      </c>
      <c r="C2063" s="202">
        <v>6.91</v>
      </c>
      <c r="D2063" s="202">
        <v>2.0445519999999999</v>
      </c>
    </row>
    <row r="2064" spans="2:4" ht="13.25" customHeight="1">
      <c r="B2064" s="203">
        <v>43972</v>
      </c>
      <c r="C2064" s="202">
        <v>6.7640000000000002</v>
      </c>
      <c r="D2064" s="202">
        <v>1.6248290000000001</v>
      </c>
    </row>
    <row r="2065" spans="2:4" ht="13.25" customHeight="1">
      <c r="B2065" s="203">
        <v>43973</v>
      </c>
      <c r="C2065" s="202">
        <v>6.9</v>
      </c>
      <c r="D2065" s="202">
        <v>1.827215</v>
      </c>
    </row>
    <row r="2066" spans="2:4" ht="13.25" customHeight="1">
      <c r="B2066" s="203">
        <v>43976</v>
      </c>
      <c r="C2066" s="202">
        <v>6.9139999999999997</v>
      </c>
      <c r="D2066" s="202">
        <v>1.3197140000000001</v>
      </c>
    </row>
    <row r="2067" spans="2:4" ht="13.25" customHeight="1">
      <c r="B2067" s="203">
        <v>43977</v>
      </c>
      <c r="C2067" s="202">
        <v>6.968</v>
      </c>
      <c r="D2067" s="202">
        <v>2.8196910000000002</v>
      </c>
    </row>
    <row r="2068" spans="2:4" ht="13.25" customHeight="1">
      <c r="B2068" s="203">
        <v>43978</v>
      </c>
      <c r="C2068" s="202">
        <v>6.95</v>
      </c>
      <c r="D2068" s="202">
        <v>2.539847</v>
      </c>
    </row>
    <row r="2069" spans="2:4" ht="13.25" customHeight="1">
      <c r="B2069" s="203">
        <v>43979</v>
      </c>
      <c r="C2069" s="202">
        <v>7.4</v>
      </c>
      <c r="D2069" s="202">
        <v>4.9957130000000003</v>
      </c>
    </row>
    <row r="2070" spans="2:4" ht="13.25" customHeight="1">
      <c r="B2070" s="203">
        <v>43980</v>
      </c>
      <c r="C2070" s="202">
        <v>7.3</v>
      </c>
      <c r="D2070" s="202">
        <v>3.8061189999999998</v>
      </c>
    </row>
    <row r="2071" spans="2:4" ht="13.25" customHeight="1">
      <c r="B2071" s="203">
        <v>43983</v>
      </c>
      <c r="C2071" s="202">
        <v>7.19</v>
      </c>
      <c r="D2071" s="202">
        <v>2.4038080000000002</v>
      </c>
    </row>
    <row r="2072" spans="2:4" ht="13.25" customHeight="1">
      <c r="B2072" s="203">
        <v>43984</v>
      </c>
      <c r="C2072" s="202">
        <v>7.3639999999999999</v>
      </c>
      <c r="D2072" s="202">
        <v>2.1981709999999999</v>
      </c>
    </row>
    <row r="2073" spans="2:4" ht="13.25" customHeight="1">
      <c r="B2073" s="203">
        <v>43985</v>
      </c>
      <c r="C2073" s="202">
        <v>7.35</v>
      </c>
      <c r="D2073" s="202">
        <v>2.8248340000000001</v>
      </c>
    </row>
    <row r="2074" spans="2:4" ht="13.25" customHeight="1">
      <c r="B2074" s="203">
        <v>43986</v>
      </c>
      <c r="C2074" s="202">
        <v>7.4</v>
      </c>
      <c r="D2074" s="202">
        <v>2.1363850000000002</v>
      </c>
    </row>
    <row r="2075" spans="2:4" ht="13.25" customHeight="1">
      <c r="B2075" s="203">
        <v>43987</v>
      </c>
      <c r="C2075" s="202">
        <v>7.3959999999999999</v>
      </c>
      <c r="D2075" s="202">
        <v>2.715001</v>
      </c>
    </row>
    <row r="2076" spans="2:4" ht="13.25" customHeight="1">
      <c r="B2076" s="203">
        <v>43990</v>
      </c>
      <c r="C2076" s="202">
        <v>7.3979999999999997</v>
      </c>
      <c r="D2076" s="202">
        <v>2.509906</v>
      </c>
    </row>
    <row r="2077" spans="2:4" ht="13.25" customHeight="1">
      <c r="B2077" s="203">
        <v>43991</v>
      </c>
      <c r="C2077" s="202">
        <v>7.3920000000000003</v>
      </c>
      <c r="D2077" s="202">
        <v>3.4160560000000002</v>
      </c>
    </row>
    <row r="2078" spans="2:4" ht="13.25" customHeight="1">
      <c r="B2078" s="203">
        <v>43992</v>
      </c>
      <c r="C2078" s="202">
        <v>7.4320000000000004</v>
      </c>
      <c r="D2078" s="202">
        <v>3.0909840000000002</v>
      </c>
    </row>
    <row r="2079" spans="2:4" ht="13.25" customHeight="1">
      <c r="B2079" s="203">
        <v>43993</v>
      </c>
      <c r="C2079" s="202">
        <v>7.31</v>
      </c>
      <c r="D2079" s="202">
        <v>3.6347580000000002</v>
      </c>
    </row>
    <row r="2080" spans="2:4" ht="13.25" customHeight="1">
      <c r="B2080" s="203">
        <v>43994</v>
      </c>
      <c r="C2080" s="202">
        <v>7.46</v>
      </c>
      <c r="D2080" s="202">
        <v>2.7648410000000001</v>
      </c>
    </row>
    <row r="2081" spans="2:4" ht="13.25" customHeight="1">
      <c r="B2081" s="203">
        <v>43997</v>
      </c>
      <c r="C2081" s="202">
        <v>7.32</v>
      </c>
      <c r="D2081" s="202">
        <v>2.6272880000000001</v>
      </c>
    </row>
    <row r="2082" spans="2:4" ht="13.25" customHeight="1">
      <c r="B2082" s="203">
        <v>43998</v>
      </c>
      <c r="C2082" s="202">
        <v>7.5720000000000001</v>
      </c>
      <c r="D2082" s="202">
        <v>2.8855949999999999</v>
      </c>
    </row>
    <row r="2083" spans="2:4" ht="13.25" customHeight="1">
      <c r="B2083" s="203">
        <v>43999</v>
      </c>
      <c r="C2083" s="202">
        <v>7.59</v>
      </c>
      <c r="D2083" s="202">
        <v>2.4922070000000001</v>
      </c>
    </row>
    <row r="2084" spans="2:4" ht="13.25" customHeight="1">
      <c r="B2084" s="203">
        <v>44000</v>
      </c>
      <c r="C2084" s="202">
        <v>7.6479999999999997</v>
      </c>
      <c r="D2084" s="202">
        <v>2.0832630000000001</v>
      </c>
    </row>
    <row r="2085" spans="2:4" ht="13.25" customHeight="1">
      <c r="B2085" s="203">
        <v>44001</v>
      </c>
      <c r="C2085" s="202">
        <v>7.7119999999999997</v>
      </c>
      <c r="D2085" s="202">
        <v>4.5162190000000004</v>
      </c>
    </row>
    <row r="2086" spans="2:4" ht="13.25" customHeight="1">
      <c r="B2086" s="203">
        <v>44004</v>
      </c>
      <c r="C2086" s="202">
        <v>7.7039999999999997</v>
      </c>
      <c r="D2086" s="202">
        <v>2.5739939999999999</v>
      </c>
    </row>
    <row r="2087" spans="2:4" ht="13.25" customHeight="1">
      <c r="B2087" s="203">
        <v>44005</v>
      </c>
      <c r="C2087" s="202">
        <v>7.85</v>
      </c>
      <c r="D2087" s="202">
        <v>2.7931900000000001</v>
      </c>
    </row>
    <row r="2088" spans="2:4" ht="13.25" customHeight="1">
      <c r="B2088" s="203">
        <v>44006</v>
      </c>
      <c r="C2088" s="202">
        <v>7.6479999999999997</v>
      </c>
      <c r="D2088" s="202">
        <v>2.0716209999999999</v>
      </c>
    </row>
    <row r="2089" spans="2:4" ht="13.25" customHeight="1">
      <c r="B2089" s="203">
        <v>44007</v>
      </c>
      <c r="C2089" s="202">
        <v>7.4</v>
      </c>
      <c r="D2089" s="202">
        <v>8.8417440000000003</v>
      </c>
    </row>
    <row r="2090" spans="2:4" ht="13.25" customHeight="1">
      <c r="B2090" s="203">
        <v>44008</v>
      </c>
      <c r="C2090" s="202">
        <v>7.53</v>
      </c>
      <c r="D2090" s="202">
        <v>2.9212889999999998</v>
      </c>
    </row>
    <row r="2091" spans="2:4" ht="13.25" customHeight="1">
      <c r="B2091" s="203">
        <v>44011</v>
      </c>
      <c r="C2091" s="202">
        <v>7.5259999999999998</v>
      </c>
      <c r="D2091" s="202">
        <v>2.4332009999999999</v>
      </c>
    </row>
    <row r="2092" spans="2:4" ht="13.25" customHeight="1">
      <c r="B2092" s="203">
        <v>44012</v>
      </c>
      <c r="C2092" s="202">
        <v>7.5</v>
      </c>
      <c r="D2092" s="202">
        <v>1.953471</v>
      </c>
    </row>
    <row r="2093" spans="2:4" ht="13.25" customHeight="1">
      <c r="B2093" s="203">
        <v>44013</v>
      </c>
      <c r="C2093" s="202">
        <v>7.6040000000000001</v>
      </c>
      <c r="D2093" s="202">
        <v>2.151049</v>
      </c>
    </row>
    <row r="2094" spans="2:4" ht="13.25" customHeight="1">
      <c r="B2094" s="203">
        <v>44014</v>
      </c>
      <c r="C2094" s="202">
        <v>7.8159999999999998</v>
      </c>
      <c r="D2094" s="202">
        <v>3.027101</v>
      </c>
    </row>
    <row r="2095" spans="2:4" ht="13.25" customHeight="1">
      <c r="B2095" s="203">
        <v>44015</v>
      </c>
      <c r="C2095" s="202">
        <v>7.718</v>
      </c>
      <c r="D2095" s="202">
        <v>1.535863</v>
      </c>
    </row>
    <row r="2096" spans="2:4" ht="13.25" customHeight="1">
      <c r="B2096" s="203">
        <v>44018</v>
      </c>
      <c r="C2096" s="202">
        <v>7.8970000000000002</v>
      </c>
      <c r="D2096" s="202">
        <v>1.7216210000000001</v>
      </c>
    </row>
    <row r="2097" spans="2:4" ht="13.25" customHeight="1">
      <c r="B2097" s="203">
        <v>44019</v>
      </c>
      <c r="C2097" s="202">
        <v>7.9420000000000002</v>
      </c>
      <c r="D2097" s="202">
        <v>1.8832599999999999</v>
      </c>
    </row>
    <row r="2098" spans="2:4" ht="13.25" customHeight="1">
      <c r="B2098" s="203">
        <v>44020</v>
      </c>
      <c r="C2098" s="202">
        <v>7.98</v>
      </c>
      <c r="D2098" s="202">
        <v>2.5583719999999999</v>
      </c>
    </row>
    <row r="2099" spans="2:4" ht="13.25" customHeight="1">
      <c r="B2099" s="203">
        <v>44021</v>
      </c>
      <c r="C2099" s="202">
        <v>8.1199999999999992</v>
      </c>
      <c r="D2099" s="202">
        <v>3.8379500000000002</v>
      </c>
    </row>
    <row r="2100" spans="2:4" ht="13.25" customHeight="1">
      <c r="B2100" s="203">
        <v>44022</v>
      </c>
      <c r="C2100" s="202">
        <v>8.1430000000000007</v>
      </c>
      <c r="D2100" s="202">
        <v>3.2250779999999999</v>
      </c>
    </row>
    <row r="2101" spans="2:4" ht="13.25" customHeight="1">
      <c r="B2101" s="203">
        <v>44025</v>
      </c>
      <c r="C2101" s="202">
        <v>8.0920000000000005</v>
      </c>
      <c r="D2101" s="202">
        <v>2.5476730000000001</v>
      </c>
    </row>
    <row r="2102" spans="2:4" ht="13.25" customHeight="1">
      <c r="B2102" s="203">
        <v>44026</v>
      </c>
      <c r="C2102" s="202">
        <v>8.0250000000000004</v>
      </c>
      <c r="D2102" s="202">
        <v>2.2296580000000001</v>
      </c>
    </row>
    <row r="2103" spans="2:4" ht="13.25" customHeight="1">
      <c r="B2103" s="203">
        <v>44027</v>
      </c>
      <c r="C2103" s="202">
        <v>8.2050000000000001</v>
      </c>
      <c r="D2103" s="202">
        <v>1.985884</v>
      </c>
    </row>
    <row r="2104" spans="2:4" ht="13.25" customHeight="1">
      <c r="B2104" s="203">
        <v>44028</v>
      </c>
      <c r="C2104" s="202">
        <v>8.1940000000000008</v>
      </c>
      <c r="D2104" s="202">
        <v>1.694728</v>
      </c>
    </row>
    <row r="2105" spans="2:4" ht="13.25" customHeight="1">
      <c r="B2105" s="203">
        <v>44029</v>
      </c>
      <c r="C2105" s="202">
        <v>8.1059999999999999</v>
      </c>
      <c r="D2105" s="202">
        <v>2.4791599999999998</v>
      </c>
    </row>
    <row r="2106" spans="2:4" ht="13.25" customHeight="1">
      <c r="B2106" s="203">
        <v>44032</v>
      </c>
      <c r="C2106" s="202" t="s">
        <v>524</v>
      </c>
      <c r="D2106" s="202" t="e">
        <v>#VALUE!</v>
      </c>
    </row>
    <row r="2107" spans="2:4" ht="13.25" customHeight="1">
      <c r="B2107" s="203">
        <v>44033</v>
      </c>
      <c r="C2107" s="202">
        <v>8.2680000000000007</v>
      </c>
      <c r="D2107" s="202">
        <v>1.910903</v>
      </c>
    </row>
    <row r="2108" spans="2:4" ht="13.25" customHeight="1">
      <c r="B2108" s="203">
        <v>44034</v>
      </c>
      <c r="C2108" s="202">
        <v>8.1519999999999992</v>
      </c>
      <c r="D2108" s="202">
        <v>1.1570800000000001</v>
      </c>
    </row>
    <row r="2109" spans="2:4" ht="13.25" customHeight="1">
      <c r="B2109" s="203">
        <v>44035</v>
      </c>
      <c r="C2109" s="202">
        <v>8.3109999999999999</v>
      </c>
      <c r="D2109" s="202">
        <v>1.8719410000000001</v>
      </c>
    </row>
    <row r="2110" spans="2:4" ht="13.25" customHeight="1">
      <c r="B2110" s="203">
        <v>44036</v>
      </c>
      <c r="C2110" s="202">
        <v>8.1649999999999991</v>
      </c>
      <c r="D2110" s="202">
        <v>1.681918</v>
      </c>
    </row>
    <row r="2111" spans="2:4" ht="13.25" customHeight="1">
      <c r="B2111" s="203">
        <v>44039</v>
      </c>
      <c r="C2111" s="202">
        <v>8.1159999999999997</v>
      </c>
      <c r="D2111" s="202">
        <v>1.8309340000000001</v>
      </c>
    </row>
    <row r="2112" spans="2:4" ht="13.25" customHeight="1">
      <c r="B2112" s="203">
        <v>44040</v>
      </c>
      <c r="C2112" s="202">
        <v>8.5559999999999992</v>
      </c>
      <c r="D2112" s="202">
        <v>4.289256</v>
      </c>
    </row>
    <row r="2113" spans="2:4" ht="13.25" customHeight="1">
      <c r="B2113" s="203">
        <v>44041</v>
      </c>
      <c r="C2113" s="202">
        <v>8.7260000000000009</v>
      </c>
      <c r="D2113" s="202">
        <v>3.3594059999999999</v>
      </c>
    </row>
    <row r="2114" spans="2:4" ht="13.25" customHeight="1">
      <c r="B2114" s="203">
        <v>44042</v>
      </c>
      <c r="C2114" s="202">
        <v>8.5109999999999992</v>
      </c>
      <c r="D2114" s="202">
        <v>3.2203879999999998</v>
      </c>
    </row>
    <row r="2115" spans="2:4" ht="13.25" customHeight="1">
      <c r="B2115" s="203">
        <v>44043</v>
      </c>
      <c r="C2115" s="202">
        <v>8.5129999999999999</v>
      </c>
      <c r="D2115" s="202">
        <v>2.0781429999999999</v>
      </c>
    </row>
    <row r="2116" spans="2:4" ht="13.25" customHeight="1">
      <c r="B2116" s="203">
        <v>44046</v>
      </c>
      <c r="C2116" s="202">
        <v>8.5749999999999993</v>
      </c>
      <c r="D2116" s="202">
        <v>2.0919370000000002</v>
      </c>
    </row>
    <row r="2117" spans="2:4" ht="13.25" customHeight="1">
      <c r="B2117" s="203">
        <v>44047</v>
      </c>
      <c r="C2117" s="202">
        <v>8.5239999999999991</v>
      </c>
      <c r="D2117" s="202">
        <v>1.859856</v>
      </c>
    </row>
    <row r="2118" spans="2:4" ht="13.25" customHeight="1">
      <c r="B2118" s="203">
        <v>44048</v>
      </c>
      <c r="C2118" s="202">
        <v>8.59</v>
      </c>
      <c r="D2118" s="202">
        <v>1.6297759999999999</v>
      </c>
    </row>
    <row r="2119" spans="2:4" ht="13.25" customHeight="1">
      <c r="B2119" s="203">
        <v>44049</v>
      </c>
      <c r="C2119" s="202">
        <v>8.4250000000000007</v>
      </c>
      <c r="D2119" s="202">
        <v>1.7265509999999999</v>
      </c>
    </row>
    <row r="2120" spans="2:4" ht="13.25" customHeight="1">
      <c r="B2120" s="203">
        <v>44050</v>
      </c>
      <c r="C2120" s="202">
        <v>8.4990000000000006</v>
      </c>
      <c r="D2120" s="202">
        <v>1.3054110000000001</v>
      </c>
    </row>
    <row r="2121" spans="2:4" ht="13.25" customHeight="1">
      <c r="B2121" s="203">
        <v>44053</v>
      </c>
      <c r="C2121" s="202">
        <v>8.51</v>
      </c>
      <c r="D2121" s="202">
        <v>1.43052</v>
      </c>
    </row>
    <row r="2122" spans="2:4" ht="13.25" customHeight="1">
      <c r="B2122" s="203">
        <v>44054</v>
      </c>
      <c r="C2122" s="202">
        <v>8.5589999999999993</v>
      </c>
      <c r="D2122" s="202">
        <v>1.749825</v>
      </c>
    </row>
    <row r="2123" spans="2:4" ht="13.25" customHeight="1">
      <c r="B2123" s="203">
        <v>44055</v>
      </c>
      <c r="C2123" s="202">
        <v>8.7349999999999994</v>
      </c>
      <c r="D2123" s="202">
        <v>1.4496739999999999</v>
      </c>
    </row>
    <row r="2124" spans="2:4" ht="13.25" customHeight="1">
      <c r="B2124" s="203">
        <v>44056</v>
      </c>
      <c r="C2124" s="202">
        <v>8.6950000000000003</v>
      </c>
      <c r="D2124" s="202">
        <v>1.2215389999999999</v>
      </c>
    </row>
    <row r="2125" spans="2:4" ht="13.25" customHeight="1">
      <c r="B2125" s="203">
        <v>44057</v>
      </c>
      <c r="C2125" s="202">
        <v>8.5709999999999997</v>
      </c>
      <c r="D2125" s="202">
        <v>1.2388680000000001</v>
      </c>
    </row>
    <row r="2126" spans="2:4" ht="13.25" customHeight="1">
      <c r="B2126" s="203">
        <v>44060</v>
      </c>
      <c r="C2126" s="202">
        <v>8.6020000000000003</v>
      </c>
      <c r="D2126" s="202">
        <v>1.419257</v>
      </c>
    </row>
    <row r="2127" spans="2:4" ht="13.25" customHeight="1">
      <c r="B2127" s="203">
        <v>44061</v>
      </c>
      <c r="C2127" s="202">
        <v>8.5350000000000001</v>
      </c>
      <c r="D2127" s="202">
        <v>1.4368890000000001</v>
      </c>
    </row>
    <row r="2128" spans="2:4" ht="13.25" customHeight="1">
      <c r="B2128" s="203">
        <v>44062</v>
      </c>
      <c r="C2128" s="202">
        <v>8.64</v>
      </c>
      <c r="D2128" s="202">
        <v>0.88997999999999999</v>
      </c>
    </row>
    <row r="2129" spans="2:4" ht="13.25" customHeight="1">
      <c r="B2129" s="203">
        <v>44063</v>
      </c>
      <c r="C2129" s="202">
        <v>8.5749999999999993</v>
      </c>
      <c r="D2129" s="202">
        <v>1.222132</v>
      </c>
    </row>
    <row r="2130" spans="2:4" ht="13.25" customHeight="1">
      <c r="B2130" s="203">
        <v>44064</v>
      </c>
      <c r="C2130" s="202">
        <v>8.52</v>
      </c>
      <c r="D2130" s="202">
        <v>1.603138</v>
      </c>
    </row>
    <row r="2131" spans="2:4" ht="13.25" customHeight="1">
      <c r="B2131" s="203">
        <v>44067</v>
      </c>
      <c r="C2131" s="202">
        <v>8.6880000000000006</v>
      </c>
      <c r="D2131" s="202">
        <v>1.0982590000000001</v>
      </c>
    </row>
    <row r="2132" spans="2:4" ht="13.25" customHeight="1">
      <c r="B2132" s="203">
        <v>44068</v>
      </c>
      <c r="C2132" s="202">
        <v>8.6389999999999993</v>
      </c>
      <c r="D2132" s="202">
        <v>0.92229300000000003</v>
      </c>
    </row>
    <row r="2133" spans="2:4" ht="13.25" customHeight="1">
      <c r="B2133" s="203">
        <v>44069</v>
      </c>
      <c r="C2133" s="202">
        <v>8.7330000000000005</v>
      </c>
      <c r="D2133" s="202">
        <v>0.92456300000000002</v>
      </c>
    </row>
    <row r="2134" spans="2:4" ht="13.25" customHeight="1">
      <c r="B2134" s="203">
        <v>44070</v>
      </c>
      <c r="C2134" s="202">
        <v>8.6050000000000004</v>
      </c>
      <c r="D2134" s="202">
        <v>1.732807</v>
      </c>
    </row>
    <row r="2135" spans="2:4" ht="13.25" customHeight="1">
      <c r="B2135" s="203">
        <v>44071</v>
      </c>
      <c r="C2135" s="202">
        <v>8.4710000000000001</v>
      </c>
      <c r="D2135" s="202">
        <v>1.7681610000000001</v>
      </c>
    </row>
    <row r="2136" spans="2:4" ht="13.25" customHeight="1">
      <c r="B2136" s="203">
        <v>44074</v>
      </c>
      <c r="C2136" s="202">
        <v>8.5920000000000005</v>
      </c>
      <c r="D2136" s="202">
        <v>2.4949279999999998</v>
      </c>
    </row>
    <row r="2137" spans="2:4" ht="13.25" customHeight="1">
      <c r="B2137" s="203">
        <v>44075</v>
      </c>
      <c r="C2137" s="202">
        <v>8.7840000000000007</v>
      </c>
      <c r="D2137" s="202">
        <v>2.8116970000000001</v>
      </c>
    </row>
    <row r="2138" spans="2:4" ht="13.25" customHeight="1">
      <c r="B2138" s="203">
        <v>44076</v>
      </c>
      <c r="C2138" s="202">
        <v>9.0820000000000007</v>
      </c>
      <c r="D2138" s="202">
        <v>2.3389150000000001</v>
      </c>
    </row>
    <row r="2139" spans="2:4" ht="13.25" customHeight="1">
      <c r="B2139" s="203">
        <v>44077</v>
      </c>
      <c r="C2139" s="202">
        <v>8.891</v>
      </c>
      <c r="D2139" s="202">
        <v>2.2173099999999999</v>
      </c>
    </row>
    <row r="2140" spans="2:4" ht="13.25" customHeight="1">
      <c r="B2140" s="203">
        <v>44078</v>
      </c>
      <c r="C2140" s="202">
        <v>8.7799999999999994</v>
      </c>
      <c r="D2140" s="202">
        <v>1.5734859999999999</v>
      </c>
    </row>
    <row r="2141" spans="2:4" ht="13.25" customHeight="1">
      <c r="B2141" s="203">
        <v>44081</v>
      </c>
      <c r="C2141" s="202">
        <v>9.0269999999999992</v>
      </c>
      <c r="D2141" s="202">
        <v>1.594541</v>
      </c>
    </row>
    <row r="2142" spans="2:4" ht="13.25" customHeight="1">
      <c r="B2142" s="203">
        <v>44082</v>
      </c>
      <c r="C2142" s="202">
        <v>8.9659999999999993</v>
      </c>
      <c r="D2142" s="202">
        <v>1.579529</v>
      </c>
    </row>
    <row r="2143" spans="2:4" ht="13.25" customHeight="1">
      <c r="B2143" s="203">
        <v>44083</v>
      </c>
      <c r="C2143" s="202">
        <v>9.0660000000000007</v>
      </c>
      <c r="D2143" s="202">
        <v>1.440879</v>
      </c>
    </row>
    <row r="2144" spans="2:4" ht="13.25" customHeight="1">
      <c r="B2144" s="203">
        <v>44084</v>
      </c>
      <c r="C2144" s="202">
        <v>9.0229999999999997</v>
      </c>
      <c r="D2144" s="202">
        <v>3.0551550000000001</v>
      </c>
    </row>
    <row r="2145" spans="2:4" ht="13.25" customHeight="1">
      <c r="B2145" s="203">
        <v>44085</v>
      </c>
      <c r="C2145" s="202">
        <v>9.1340000000000003</v>
      </c>
      <c r="D2145" s="202">
        <v>2.0145490000000001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9B00"/>
  </sheetPr>
  <dimension ref="A1:N34"/>
  <sheetViews>
    <sheetView showGridLines="0" zoomScale="91" zoomScaleNormal="100" workbookViewId="0">
      <selection activeCell="M18" sqref="M18"/>
    </sheetView>
  </sheetViews>
  <sheetFormatPr baseColWidth="10" defaultColWidth="0" defaultRowHeight="11.25" customHeight="1" zeroHeight="1"/>
  <cols>
    <col min="1" max="14" width="9.25" customWidth="1"/>
    <col min="15" max="16" width="9.25" hidden="1" customWidth="1"/>
    <col min="17" max="16384" width="9.25" hidden="1"/>
  </cols>
  <sheetData>
    <row r="1" spans="1:14" s="257" customFormat="1" ht="11">
      <c r="A1" s="478"/>
      <c r="B1" s="478"/>
      <c r="C1" s="478"/>
      <c r="D1" s="478"/>
      <c r="E1" s="478"/>
      <c r="F1" s="478"/>
      <c r="G1" s="478"/>
      <c r="H1" s="478"/>
      <c r="I1" s="478"/>
      <c r="J1" s="478"/>
      <c r="K1" s="478"/>
      <c r="L1" s="478"/>
      <c r="M1" s="478"/>
      <c r="N1" s="478"/>
    </row>
    <row r="2" spans="1:14" s="257" customFormat="1" ht="11">
      <c r="A2" s="478"/>
      <c r="B2" s="478"/>
      <c r="C2" s="478"/>
      <c r="D2" s="478"/>
      <c r="E2" s="478"/>
      <c r="F2" s="478"/>
      <c r="G2" s="478"/>
      <c r="H2" s="478"/>
      <c r="I2" s="478"/>
      <c r="J2" s="478"/>
      <c r="K2" s="478"/>
      <c r="L2" s="478"/>
      <c r="M2" s="478"/>
      <c r="N2" s="478"/>
    </row>
    <row r="3" spans="1:14" s="257" customFormat="1" ht="11">
      <c r="A3" s="478"/>
      <c r="B3" s="478"/>
      <c r="C3" s="478"/>
      <c r="D3" s="478"/>
      <c r="E3" s="478"/>
      <c r="F3" s="478"/>
      <c r="G3" s="478"/>
      <c r="H3" s="478"/>
      <c r="I3" s="478"/>
      <c r="J3" s="478"/>
      <c r="K3" s="478"/>
      <c r="L3" s="478"/>
      <c r="M3" s="478"/>
      <c r="N3" s="478"/>
    </row>
    <row r="4" spans="1:14" s="257" customFormat="1" ht="11">
      <c r="A4" s="478"/>
      <c r="B4" s="478"/>
      <c r="C4" s="478"/>
      <c r="D4" s="478"/>
      <c r="E4" s="478"/>
      <c r="F4" s="478"/>
      <c r="G4" s="478"/>
      <c r="H4" s="478"/>
      <c r="I4" s="478"/>
      <c r="J4" s="478"/>
      <c r="K4" s="478"/>
      <c r="L4" s="478"/>
      <c r="M4" s="478"/>
      <c r="N4" s="478"/>
    </row>
    <row r="5" spans="1:14" s="257" customFormat="1" ht="11">
      <c r="A5" s="478"/>
      <c r="B5" s="478"/>
      <c r="C5" s="478"/>
      <c r="D5" s="478"/>
      <c r="E5" s="478"/>
      <c r="F5" s="478"/>
      <c r="G5" s="478"/>
      <c r="H5" s="478"/>
      <c r="I5" s="478"/>
      <c r="J5" s="478"/>
      <c r="K5" s="478"/>
      <c r="L5" s="478"/>
      <c r="M5" s="478"/>
      <c r="N5" s="478"/>
    </row>
    <row r="6" spans="1:14" ht="11"/>
    <row r="7" spans="1:14" ht="11"/>
    <row r="8" spans="1:14" ht="11"/>
    <row r="9" spans="1:14" ht="11"/>
    <row r="10" spans="1:14" ht="11"/>
    <row r="11" spans="1:14" ht="11">
      <c r="C11" s="258"/>
    </row>
    <row r="12" spans="1:14" ht="23">
      <c r="C12" s="520" t="s">
        <v>2</v>
      </c>
      <c r="D12" s="521"/>
      <c r="E12" s="49"/>
    </row>
    <row r="13" spans="1:14" ht="23">
      <c r="C13" s="520" t="s">
        <v>3</v>
      </c>
      <c r="D13" s="50"/>
      <c r="E13" s="50"/>
    </row>
    <row r="14" spans="1:14" ht="11">
      <c r="C14" s="258"/>
    </row>
    <row r="15" spans="1:14" ht="11"/>
    <row r="16" spans="1:14" ht="11"/>
    <row r="17" spans="3:3" ht="28">
      <c r="C17" s="51" t="s">
        <v>4</v>
      </c>
    </row>
    <row r="18" spans="3:3" ht="28">
      <c r="C18" s="51"/>
    </row>
    <row r="19" spans="3:3" ht="11"/>
    <row r="20" spans="3:3" ht="11"/>
    <row r="21" spans="3:3" ht="11"/>
    <row r="22" spans="3:3" ht="11"/>
    <row r="23" spans="3:3" ht="11"/>
    <row r="24" spans="3:3" ht="11"/>
    <row r="25" spans="3:3" ht="11"/>
    <row r="26" spans="3:3" ht="11"/>
    <row r="27" spans="3:3" ht="11"/>
    <row r="28" spans="3:3" ht="11"/>
    <row r="29" spans="3:3" ht="11"/>
    <row r="30" spans="3:3" ht="11" hidden="1"/>
    <row r="31" spans="3:3" ht="11" hidden="1"/>
    <row r="32" spans="3:3" ht="11" hidden="1"/>
    <row r="33" ht="11" hidden="1"/>
    <row r="34" ht="11" hidden="1"/>
  </sheetData>
  <pageMargins left="0.7" right="0.7" top="0.75" bottom="0.75" header="0.3" footer="0.3"/>
  <pageSetup paperSize="9" orientation="portrait" horizontalDpi="360" verticalDpi="36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K9"/>
  <sheetViews>
    <sheetView showGridLines="0" workbookViewId="0">
      <selection activeCell="S18" sqref="S18"/>
    </sheetView>
  </sheetViews>
  <sheetFormatPr baseColWidth="10" defaultColWidth="8.75" defaultRowHeight="20" customHeight="1"/>
  <cols>
    <col min="2" max="2" width="26.75" bestFit="1" customWidth="1"/>
    <col min="3" max="3" width="2.5" customWidth="1"/>
    <col min="4" max="11" width="5.5" customWidth="1"/>
    <col min="12" max="12" width="4.75" customWidth="1"/>
  </cols>
  <sheetData>
    <row r="1" spans="2:11" ht="15" customHeight="1"/>
    <row r="2" spans="2:11" ht="20" customHeight="1">
      <c r="B2" s="149" t="s">
        <v>525</v>
      </c>
      <c r="C2" s="150"/>
      <c r="D2" s="150">
        <v>1</v>
      </c>
      <c r="E2" s="150">
        <v>2</v>
      </c>
      <c r="F2" s="150">
        <v>3</v>
      </c>
      <c r="G2" s="150">
        <v>4</v>
      </c>
      <c r="H2" s="150">
        <v>5</v>
      </c>
      <c r="I2" s="150">
        <v>6</v>
      </c>
      <c r="J2" s="150">
        <v>7</v>
      </c>
      <c r="K2" s="150">
        <v>8</v>
      </c>
    </row>
    <row r="3" spans="2:11" ht="4.25" customHeight="1" thickBot="1">
      <c r="B3" s="148"/>
      <c r="C3" s="148"/>
      <c r="D3" s="151"/>
      <c r="E3" s="151"/>
      <c r="F3" s="151"/>
      <c r="G3" s="151"/>
      <c r="H3" s="151"/>
      <c r="I3" s="151"/>
      <c r="J3" s="151"/>
      <c r="K3" s="151"/>
    </row>
    <row r="4" spans="2:11" ht="17" customHeight="1" thickTop="1" thickBot="1">
      <c r="B4" s="148" t="s">
        <v>526</v>
      </c>
      <c r="C4" s="148"/>
      <c r="D4" s="152"/>
      <c r="E4" s="152"/>
      <c r="F4" s="152"/>
      <c r="G4" s="153"/>
      <c r="H4" s="153"/>
      <c r="I4" s="153"/>
      <c r="J4" s="153"/>
      <c r="K4" s="153"/>
    </row>
    <row r="5" spans="2:11" ht="17" customHeight="1" thickTop="1" thickBot="1">
      <c r="B5" s="148" t="s">
        <v>527</v>
      </c>
      <c r="C5" s="148"/>
      <c r="D5" s="147"/>
      <c r="E5" s="152"/>
      <c r="F5" s="152"/>
      <c r="G5" s="152"/>
      <c r="H5" s="152"/>
      <c r="I5" s="153"/>
      <c r="J5" s="153"/>
      <c r="K5" s="153"/>
    </row>
    <row r="6" spans="2:11" ht="17" customHeight="1" thickTop="1" thickBot="1">
      <c r="B6" s="148" t="s">
        <v>528</v>
      </c>
      <c r="C6" s="148"/>
      <c r="D6" s="153"/>
      <c r="E6" s="147"/>
      <c r="F6" s="152"/>
      <c r="G6" s="152"/>
      <c r="H6" s="152"/>
      <c r="I6" s="152"/>
      <c r="J6" s="153"/>
      <c r="K6" s="153"/>
    </row>
    <row r="7" spans="2:11" ht="17" customHeight="1" thickTop="1" thickBot="1">
      <c r="B7" s="148" t="s">
        <v>529</v>
      </c>
      <c r="C7" s="148"/>
      <c r="D7" s="153"/>
      <c r="E7" s="153"/>
      <c r="F7" s="147"/>
      <c r="G7" s="152"/>
      <c r="H7" s="152"/>
      <c r="I7" s="152"/>
      <c r="J7" s="152"/>
      <c r="K7" s="153"/>
    </row>
    <row r="8" spans="2:11" ht="5" customHeight="1" thickTop="1">
      <c r="B8" s="148"/>
      <c r="C8" s="148"/>
      <c r="D8" s="151"/>
      <c r="E8" s="151"/>
      <c r="F8" s="151"/>
      <c r="G8" s="151"/>
      <c r="H8" s="151"/>
      <c r="I8" s="151"/>
      <c r="J8" s="151"/>
      <c r="K8" s="151"/>
    </row>
    <row r="9" spans="2:11" ht="13.25" customHeight="1">
      <c r="B9" s="154" t="s">
        <v>530</v>
      </c>
      <c r="C9" s="155"/>
      <c r="D9" s="156"/>
      <c r="E9" s="156"/>
      <c r="F9" s="156"/>
      <c r="G9" s="156"/>
      <c r="H9" s="156"/>
      <c r="I9" s="156"/>
      <c r="J9" s="156"/>
      <c r="K9" s="156"/>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U106"/>
  <sheetViews>
    <sheetView showGridLines="0" zoomScale="157" zoomScaleNormal="100" workbookViewId="0">
      <pane ySplit="6" topLeftCell="A64" activePane="bottomLeft" state="frozen"/>
      <selection activeCell="N59" sqref="N59"/>
      <selection pane="bottomLeft" activeCell="F86" sqref="F86"/>
    </sheetView>
  </sheetViews>
  <sheetFormatPr baseColWidth="10" defaultColWidth="10.75" defaultRowHeight="13" customHeight="1"/>
  <cols>
    <col min="1" max="1" width="16.75" customWidth="1"/>
    <col min="2" max="2" width="36.75" style="8" customWidth="1"/>
    <col min="3" max="13" width="10.75" style="6"/>
    <col min="14" max="14" width="10.75" style="6" customWidth="1"/>
    <col min="15" max="15" width="1.25" customWidth="1"/>
  </cols>
  <sheetData>
    <row r="1" spans="1:21" ht="13" customHeight="1">
      <c r="B1" s="7"/>
      <c r="F1" s="25"/>
    </row>
    <row r="2" spans="1:21" ht="20" customHeight="1">
      <c r="A2" s="478"/>
      <c r="B2" s="479" t="s">
        <v>5</v>
      </c>
      <c r="C2" s="480"/>
      <c r="D2" s="480"/>
      <c r="E2" s="480"/>
      <c r="F2" s="480"/>
      <c r="G2" s="480"/>
      <c r="H2" s="480"/>
      <c r="I2" s="480"/>
      <c r="J2" s="480"/>
      <c r="K2" s="480"/>
      <c r="L2" s="480"/>
      <c r="M2" s="480"/>
      <c r="N2" s="480"/>
    </row>
    <row r="3" spans="1:21" ht="13" customHeight="1">
      <c r="F3" s="23" t="s">
        <v>6</v>
      </c>
      <c r="G3" s="22"/>
      <c r="H3" s="22"/>
      <c r="I3" s="22"/>
      <c r="J3" s="23" t="s">
        <v>7</v>
      </c>
      <c r="K3" s="21"/>
      <c r="L3" s="21"/>
      <c r="M3" s="21"/>
      <c r="N3" s="21"/>
    </row>
    <row r="4" spans="1:21" ht="5" customHeight="1">
      <c r="F4" s="25"/>
      <c r="J4" s="25"/>
    </row>
    <row r="5" spans="1:21" ht="15" customHeight="1">
      <c r="B5" s="481" t="s">
        <v>8</v>
      </c>
      <c r="C5" s="482" t="str">
        <f ca="1">AsReported!C5</f>
        <v>Driver</v>
      </c>
      <c r="D5" s="483" t="s">
        <v>9</v>
      </c>
      <c r="E5" s="484"/>
      <c r="F5" s="262">
        <v>43830</v>
      </c>
      <c r="G5" s="263">
        <f t="shared" ref="G5:N5" si="0">+EOMONTH(F5,12)</f>
        <v>44196</v>
      </c>
      <c r="H5" s="263">
        <f t="shared" si="0"/>
        <v>44561</v>
      </c>
      <c r="I5" s="263">
        <f t="shared" si="0"/>
        <v>44926</v>
      </c>
      <c r="J5" s="485">
        <f t="shared" si="0"/>
        <v>45291</v>
      </c>
      <c r="K5" s="486">
        <f t="shared" si="0"/>
        <v>45657</v>
      </c>
      <c r="L5" s="486">
        <f t="shared" si="0"/>
        <v>46022</v>
      </c>
      <c r="M5" s="486">
        <f t="shared" si="0"/>
        <v>46387</v>
      </c>
      <c r="N5" s="486">
        <f t="shared" si="0"/>
        <v>46752</v>
      </c>
      <c r="P5" s="482" t="s">
        <v>10</v>
      </c>
      <c r="Q5" s="482"/>
      <c r="R5" s="482"/>
      <c r="S5" s="482"/>
      <c r="T5" s="482"/>
      <c r="U5" s="482"/>
    </row>
    <row r="6" spans="1:21" ht="5" customHeight="1">
      <c r="F6" s="25"/>
    </row>
    <row r="7" spans="1:21" ht="5" customHeight="1"/>
    <row r="8" spans="1:21" ht="13.25" customHeight="1">
      <c r="B8" s="487" t="s">
        <v>11</v>
      </c>
      <c r="C8" s="487"/>
      <c r="D8" s="8"/>
      <c r="E8" s="8"/>
      <c r="J8"/>
      <c r="K8"/>
      <c r="L8"/>
      <c r="M8"/>
      <c r="N8"/>
    </row>
    <row r="9" spans="1:21" ht="5" customHeight="1"/>
    <row r="10" spans="1:21" ht="13" customHeight="1">
      <c r="B10" s="11" t="s">
        <v>12</v>
      </c>
      <c r="C10" s="489" t="s">
        <v>13</v>
      </c>
      <c r="D10" s="8"/>
      <c r="E10"/>
      <c r="F10"/>
      <c r="G10"/>
      <c r="H10"/>
      <c r="I10"/>
      <c r="J10"/>
      <c r="K10"/>
      <c r="L10"/>
      <c r="M10"/>
      <c r="N10"/>
    </row>
    <row r="11" spans="1:21" ht="13" customHeight="1">
      <c r="B11" s="11" t="s">
        <v>14</v>
      </c>
      <c r="C11" s="11" t="s">
        <v>15</v>
      </c>
      <c r="D11" s="8"/>
      <c r="E11"/>
      <c r="F11"/>
      <c r="G11"/>
      <c r="H11"/>
      <c r="I11"/>
      <c r="J11"/>
      <c r="K11"/>
      <c r="L11"/>
      <c r="M11"/>
      <c r="N11"/>
    </row>
    <row r="12" spans="1:21" ht="13" customHeight="1">
      <c r="C12" s="19"/>
      <c r="D12" s="19"/>
      <c r="E12" s="19"/>
      <c r="F12" s="34"/>
      <c r="G12" s="34"/>
      <c r="H12" s="34"/>
      <c r="I12" s="34"/>
      <c r="J12" s="34"/>
      <c r="K12" s="34"/>
      <c r="L12" s="34"/>
      <c r="M12" s="34"/>
      <c r="N12" s="34"/>
    </row>
    <row r="13" spans="1:21" ht="13" customHeight="1">
      <c r="B13" s="487" t="s">
        <v>16</v>
      </c>
      <c r="C13" s="488"/>
      <c r="D13" s="488"/>
      <c r="E13" s="488"/>
      <c r="F13" s="488"/>
      <c r="G13" s="488"/>
      <c r="H13" s="488"/>
      <c r="I13" s="488"/>
      <c r="J13" s="488"/>
      <c r="K13" s="488"/>
      <c r="L13" s="488"/>
      <c r="M13" s="488"/>
      <c r="N13" s="488"/>
    </row>
    <row r="14" spans="1:21" ht="5" customHeight="1"/>
    <row r="15" spans="1:21" ht="13" customHeight="1">
      <c r="B15" s="8" t="s">
        <v>17</v>
      </c>
      <c r="C15" s="19"/>
      <c r="D15" s="19"/>
      <c r="E15" s="19"/>
      <c r="F15" s="121">
        <v>1627.7039789999999</v>
      </c>
      <c r="G15" s="121">
        <v>1440.409058</v>
      </c>
      <c r="H15" s="121">
        <v>2046.1030270000001</v>
      </c>
      <c r="I15" s="121">
        <v>2602.889893</v>
      </c>
      <c r="K15" s="121"/>
      <c r="L15" s="121"/>
      <c r="M15" s="121"/>
      <c r="N15" s="121"/>
      <c r="O15" s="6"/>
    </row>
    <row r="16" spans="1:21" ht="13" customHeight="1">
      <c r="B16" s="187" t="s">
        <v>18</v>
      </c>
      <c r="C16" s="188"/>
      <c r="D16" s="188"/>
      <c r="E16" s="188"/>
      <c r="F16" s="215">
        <v>-362.42401100000001</v>
      </c>
      <c r="G16" s="215">
        <v>-350.77499399999999</v>
      </c>
      <c r="H16" s="215">
        <v>-479.19699100000003</v>
      </c>
      <c r="I16" s="215">
        <v>-615.04699700000003</v>
      </c>
      <c r="J16" s="136"/>
      <c r="K16" s="136"/>
      <c r="L16" s="136"/>
      <c r="M16" s="136"/>
      <c r="N16" s="215"/>
    </row>
    <row r="17" spans="2:14" ht="13" customHeight="1">
      <c r="B17" s="13" t="s">
        <v>19</v>
      </c>
      <c r="C17" s="19"/>
      <c r="D17" s="19"/>
      <c r="E17" s="19"/>
      <c r="F17" s="121">
        <f>F15+F16</f>
        <v>1265.2799679999998</v>
      </c>
      <c r="G17" s="121">
        <f t="shared" ref="G17:I17" si="1">G15+G16</f>
        <v>1089.6340639999999</v>
      </c>
      <c r="H17" s="121">
        <f t="shared" si="1"/>
        <v>1566.9060360000001</v>
      </c>
      <c r="I17" s="121">
        <f t="shared" si="1"/>
        <v>1987.8428960000001</v>
      </c>
      <c r="N17" s="121"/>
    </row>
    <row r="18" spans="2:14" ht="5" customHeight="1">
      <c r="F18" s="32"/>
      <c r="G18" s="32"/>
      <c r="H18" s="32"/>
      <c r="I18" s="32"/>
      <c r="J18" s="32"/>
      <c r="K18" s="32"/>
      <c r="L18" s="32"/>
      <c r="M18" s="32"/>
      <c r="N18" s="32"/>
    </row>
    <row r="19" spans="2:14" ht="13" customHeight="1">
      <c r="B19" s="8" t="s">
        <v>20</v>
      </c>
      <c r="C19" s="19"/>
      <c r="D19" s="19"/>
      <c r="E19" s="19"/>
      <c r="F19" s="121">
        <v>-113.152</v>
      </c>
      <c r="G19" s="121">
        <v>-83.786002999999994</v>
      </c>
      <c r="H19" s="121">
        <v>-142.08200099999999</v>
      </c>
      <c r="I19" s="121">
        <v>-171.93600499999999</v>
      </c>
      <c r="N19" s="121"/>
    </row>
    <row r="20" spans="2:14" ht="13" customHeight="1">
      <c r="B20" s="8" t="s">
        <v>21</v>
      </c>
      <c r="C20" s="19"/>
      <c r="D20" s="19"/>
      <c r="E20" s="19"/>
      <c r="F20" s="121">
        <v>-488.75900300000001</v>
      </c>
      <c r="G20" s="121">
        <v>-463.58300800000001</v>
      </c>
      <c r="H20" s="121">
        <v>-608.49499500000002</v>
      </c>
      <c r="I20" s="121">
        <v>-757.39300500000002</v>
      </c>
      <c r="N20" s="121"/>
    </row>
    <row r="21" spans="2:14" ht="13" customHeight="1">
      <c r="B21" s="8" t="s">
        <v>22</v>
      </c>
      <c r="C21" s="19"/>
      <c r="D21" s="19"/>
      <c r="E21" s="19"/>
      <c r="F21" s="121">
        <v>-171.570007</v>
      </c>
      <c r="G21" s="121">
        <v>-173.44399999999999</v>
      </c>
      <c r="H21" s="121">
        <v>-237.108994</v>
      </c>
      <c r="I21" s="121">
        <v>-283.96701000000002</v>
      </c>
      <c r="N21" s="121"/>
    </row>
    <row r="22" spans="2:14" ht="13" customHeight="1">
      <c r="B22" s="8" t="s">
        <v>23</v>
      </c>
      <c r="C22" s="19"/>
      <c r="D22" s="19"/>
      <c r="E22" s="19"/>
      <c r="F22" s="121">
        <v>0</v>
      </c>
      <c r="G22" s="121">
        <v>0</v>
      </c>
      <c r="H22" s="121">
        <v>0</v>
      </c>
      <c r="I22" s="121">
        <v>0</v>
      </c>
      <c r="J22" s="121"/>
      <c r="K22" s="121"/>
      <c r="L22" s="121"/>
      <c r="M22" s="121"/>
      <c r="N22" s="121"/>
    </row>
    <row r="23" spans="2:14" ht="13" customHeight="1">
      <c r="B23" s="12" t="s">
        <v>24</v>
      </c>
      <c r="C23" s="122"/>
      <c r="D23" s="122"/>
      <c r="E23" s="122"/>
      <c r="F23" s="33">
        <f>SUM(F17:F22)</f>
        <v>491.79895799999974</v>
      </c>
      <c r="G23" s="33">
        <f t="shared" ref="G23:I23" si="2">SUM(G17:G22)</f>
        <v>368.82105299999989</v>
      </c>
      <c r="H23" s="33">
        <f t="shared" si="2"/>
        <v>579.22004600000014</v>
      </c>
      <c r="I23" s="33">
        <f t="shared" si="2"/>
        <v>774.54687600000011</v>
      </c>
      <c r="J23" s="33"/>
      <c r="K23" s="33"/>
      <c r="L23" s="33"/>
      <c r="M23" s="33"/>
      <c r="N23" s="33"/>
    </row>
    <row r="24" spans="2:14" ht="5" customHeight="1">
      <c r="F24" s="32"/>
      <c r="G24" s="32"/>
      <c r="H24" s="32"/>
      <c r="I24" s="32"/>
      <c r="J24" s="32"/>
      <c r="K24" s="32"/>
      <c r="L24" s="32"/>
      <c r="M24" s="32"/>
      <c r="N24" s="32"/>
    </row>
    <row r="25" spans="2:14" ht="13" customHeight="1">
      <c r="B25" s="8" t="s">
        <v>25</v>
      </c>
      <c r="C25" s="19"/>
      <c r="D25" s="19"/>
      <c r="E25" s="19"/>
      <c r="F25" s="121">
        <v>1.238</v>
      </c>
      <c r="G25" s="121">
        <v>0.75900000000000001</v>
      </c>
      <c r="H25" s="121">
        <v>3.0609999999999999</v>
      </c>
      <c r="I25" s="121">
        <v>3.5369999999999999</v>
      </c>
      <c r="N25" s="121"/>
    </row>
    <row r="26" spans="2:14" ht="13" customHeight="1">
      <c r="B26" s="8" t="s">
        <v>26</v>
      </c>
      <c r="C26" s="19"/>
      <c r="D26" s="19"/>
      <c r="E26" s="19"/>
      <c r="F26" s="121">
        <v>-22.309999000000001</v>
      </c>
      <c r="G26" s="121">
        <v>-24.061001000000001</v>
      </c>
      <c r="H26" s="121">
        <v>-24.669001000000002</v>
      </c>
      <c r="I26" s="121">
        <v>-30.753</v>
      </c>
      <c r="N26" s="121"/>
    </row>
    <row r="27" spans="2:14" ht="13" customHeight="1">
      <c r="B27" s="8" t="s">
        <v>27</v>
      </c>
      <c r="C27" s="19"/>
      <c r="D27" s="19"/>
      <c r="E27" s="19"/>
      <c r="F27" s="121">
        <v>0</v>
      </c>
      <c r="G27" s="121">
        <v>0</v>
      </c>
      <c r="H27" s="121">
        <v>0</v>
      </c>
      <c r="I27" s="121">
        <v>0</v>
      </c>
      <c r="J27" s="121"/>
      <c r="K27" s="121"/>
      <c r="L27" s="121"/>
      <c r="M27" s="121"/>
      <c r="N27" s="121"/>
    </row>
    <row r="28" spans="2:14" ht="13" customHeight="1">
      <c r="B28" s="8" t="s">
        <v>28</v>
      </c>
      <c r="C28" s="19"/>
      <c r="D28" s="19"/>
      <c r="E28" s="19"/>
      <c r="F28" s="121">
        <v>0</v>
      </c>
      <c r="G28" s="121">
        <v>0</v>
      </c>
      <c r="H28" s="121">
        <v>0</v>
      </c>
      <c r="I28" s="121">
        <v>0</v>
      </c>
      <c r="J28" s="121"/>
      <c r="K28" s="121"/>
      <c r="L28" s="121"/>
      <c r="M28" s="121"/>
      <c r="N28" s="121"/>
    </row>
    <row r="29" spans="2:14" ht="13" customHeight="1">
      <c r="B29" s="8" t="s">
        <v>29</v>
      </c>
      <c r="C29" s="19"/>
      <c r="D29" s="19"/>
      <c r="E29" s="19"/>
      <c r="F29" s="121">
        <v>0</v>
      </c>
      <c r="G29" s="121">
        <v>0</v>
      </c>
      <c r="H29" s="121">
        <v>0</v>
      </c>
      <c r="I29" s="121">
        <v>0</v>
      </c>
      <c r="J29" s="121"/>
      <c r="K29" s="121"/>
      <c r="L29" s="121"/>
      <c r="M29" s="121"/>
      <c r="N29" s="121"/>
    </row>
    <row r="30" spans="2:14" ht="13" customHeight="1">
      <c r="B30" s="12" t="s">
        <v>30</v>
      </c>
      <c r="C30" s="122"/>
      <c r="D30" s="122"/>
      <c r="E30" s="122"/>
      <c r="F30" s="33">
        <f>+SUM(F23:F29)</f>
        <v>470.72695899999974</v>
      </c>
      <c r="G30" s="33">
        <f>+SUM(G23:G29)</f>
        <v>345.51905199999993</v>
      </c>
      <c r="H30" s="33">
        <f>+SUM(H23:H29)</f>
        <v>557.61204500000019</v>
      </c>
      <c r="I30" s="33">
        <f>+SUM(I23:I29)</f>
        <v>747.3308760000001</v>
      </c>
      <c r="J30" s="33"/>
      <c r="K30" s="33"/>
      <c r="L30" s="33"/>
      <c r="M30" s="33"/>
      <c r="N30" s="33"/>
    </row>
    <row r="31" spans="2:14" ht="5" customHeight="1">
      <c r="F31" s="32"/>
      <c r="G31" s="32"/>
      <c r="H31" s="32"/>
      <c r="I31" s="32"/>
      <c r="J31" s="32"/>
      <c r="K31" s="32"/>
      <c r="L31" s="32"/>
      <c r="M31" s="32"/>
      <c r="N31" s="32"/>
    </row>
    <row r="32" spans="2:14" ht="13" customHeight="1">
      <c r="B32" s="8" t="s">
        <v>31</v>
      </c>
      <c r="C32" s="19"/>
      <c r="D32" s="19"/>
      <c r="E32" s="19"/>
      <c r="F32" s="121">
        <v>-112.031998</v>
      </c>
      <c r="G32" s="121">
        <v>-45.152999999999999</v>
      </c>
      <c r="H32" s="121">
        <v>-164.05900600000001</v>
      </c>
      <c r="I32" s="121">
        <v>-140.625</v>
      </c>
      <c r="N32" s="121"/>
    </row>
    <row r="33" spans="2:16" ht="13" customHeight="1">
      <c r="B33" s="259" t="s">
        <v>32</v>
      </c>
      <c r="C33" s="260"/>
      <c r="D33" s="260"/>
      <c r="E33" s="260"/>
      <c r="F33" s="261">
        <f>+SUM(F30:F32)</f>
        <v>358.69496099999975</v>
      </c>
      <c r="G33" s="261">
        <f>+SUM(G30:G32)</f>
        <v>300.36605199999991</v>
      </c>
      <c r="H33" s="261">
        <f>+SUM(H30:H32)</f>
        <v>393.55303900000018</v>
      </c>
      <c r="I33" s="261">
        <f>+SUM(I30:I32)</f>
        <v>606.7058760000001</v>
      </c>
      <c r="J33" s="261"/>
      <c r="K33" s="261"/>
      <c r="L33" s="261"/>
      <c r="M33" s="261"/>
      <c r="N33" s="261"/>
    </row>
    <row r="34" spans="2:16" ht="13" customHeight="1">
      <c r="C34" s="19"/>
      <c r="D34" s="19"/>
      <c r="E34" s="19"/>
      <c r="F34" s="34"/>
      <c r="G34" s="34"/>
      <c r="H34" s="34"/>
      <c r="I34" s="34"/>
      <c r="J34" s="34"/>
      <c r="K34" s="34"/>
      <c r="L34" s="34"/>
      <c r="M34" s="34"/>
      <c r="N34" s="34"/>
    </row>
    <row r="35" spans="2:16" ht="13" customHeight="1">
      <c r="B35" s="487" t="s">
        <v>33</v>
      </c>
      <c r="C35" s="488"/>
      <c r="D35" s="488"/>
      <c r="E35" s="488"/>
      <c r="F35" s="488"/>
      <c r="G35" s="488"/>
      <c r="H35" s="488"/>
      <c r="I35" s="488"/>
      <c r="J35" s="488"/>
      <c r="K35" s="488"/>
      <c r="L35" s="488"/>
      <c r="M35" s="488"/>
      <c r="N35" s="488"/>
    </row>
    <row r="36" spans="2:16" ht="5" customHeight="1"/>
    <row r="37" spans="2:16" ht="13" customHeight="1">
      <c r="B37" s="8" t="s">
        <v>34</v>
      </c>
      <c r="C37" s="19"/>
      <c r="D37" s="19"/>
      <c r="E37" s="19"/>
      <c r="F37" s="121">
        <v>279.39001500000001</v>
      </c>
      <c r="G37" s="121">
        <v>282.30801400000001</v>
      </c>
      <c r="H37" s="121">
        <v>1070.073975</v>
      </c>
      <c r="I37" s="121">
        <v>1086.7060550000001</v>
      </c>
      <c r="N37" s="121"/>
      <c r="P37" s="8"/>
    </row>
    <row r="38" spans="2:16" ht="13" customHeight="1">
      <c r="B38" s="8" t="s">
        <v>35</v>
      </c>
      <c r="C38" s="19"/>
      <c r="D38" s="19"/>
      <c r="E38" s="19"/>
      <c r="F38" s="121">
        <v>155.58200099999999</v>
      </c>
      <c r="G38" s="121">
        <v>155.58200099999999</v>
      </c>
      <c r="H38" s="121">
        <v>603.41699200000005</v>
      </c>
      <c r="I38" s="121">
        <v>603.41699200000005</v>
      </c>
      <c r="N38" s="121"/>
      <c r="P38" s="8"/>
    </row>
    <row r="39" spans="2:16" ht="13" customHeight="1">
      <c r="B39" s="8" t="s">
        <v>36</v>
      </c>
      <c r="C39" s="19"/>
      <c r="D39" s="19"/>
      <c r="E39" s="19"/>
      <c r="F39" s="121">
        <v>806.53997800000002</v>
      </c>
      <c r="G39" s="121">
        <v>802.98699999999997</v>
      </c>
      <c r="H39" s="121">
        <v>913.32202099999995</v>
      </c>
      <c r="I39" s="121">
        <v>1074.48999</v>
      </c>
      <c r="N39" s="121"/>
      <c r="P39" s="8"/>
    </row>
    <row r="40" spans="2:16" ht="13" customHeight="1">
      <c r="B40" s="8" t="s">
        <v>37</v>
      </c>
      <c r="C40" s="19"/>
      <c r="D40" s="19"/>
      <c r="E40" s="19"/>
      <c r="F40" s="121"/>
      <c r="G40" s="121">
        <v>0</v>
      </c>
      <c r="H40" s="121">
        <v>0.82599999999999996</v>
      </c>
      <c r="I40" s="121">
        <v>0.90800000000000003</v>
      </c>
      <c r="N40" s="121"/>
      <c r="P40" s="8"/>
    </row>
    <row r="41" spans="2:16" ht="13" customHeight="1">
      <c r="B41" s="8" t="s">
        <v>38</v>
      </c>
      <c r="C41" s="19"/>
      <c r="D41" s="19"/>
      <c r="E41" s="19"/>
      <c r="F41" s="121">
        <v>30.457001000000002</v>
      </c>
      <c r="G41" s="121">
        <v>33.522998999999999</v>
      </c>
      <c r="H41" s="121">
        <v>37.082000999999998</v>
      </c>
      <c r="I41" s="121">
        <v>46.862999000000002</v>
      </c>
      <c r="N41" s="121"/>
      <c r="P41" s="8"/>
    </row>
    <row r="42" spans="2:16" ht="13" customHeight="1">
      <c r="B42" s="8" t="s">
        <v>39</v>
      </c>
      <c r="C42" s="19"/>
      <c r="D42" s="19"/>
      <c r="E42" s="19"/>
      <c r="F42" s="121">
        <v>129.13400300000001</v>
      </c>
      <c r="G42" s="121">
        <v>150.83200099999999</v>
      </c>
      <c r="H42" s="121">
        <v>179.31199599999999</v>
      </c>
      <c r="I42" s="121">
        <v>205.932007</v>
      </c>
      <c r="N42" s="121"/>
      <c r="P42" s="8"/>
    </row>
    <row r="43" spans="2:16" ht="13" customHeight="1">
      <c r="B43" s="12" t="s">
        <v>40</v>
      </c>
      <c r="C43" s="122"/>
      <c r="D43" s="122"/>
      <c r="E43" s="122"/>
      <c r="F43" s="123">
        <f>SUM(F37:F42)</f>
        <v>1401.1029979999998</v>
      </c>
      <c r="G43" s="123">
        <f>SUM(G37:G42)</f>
        <v>1425.232015</v>
      </c>
      <c r="H43" s="123">
        <f>SUM(H37:H42)</f>
        <v>2804.0329850000003</v>
      </c>
      <c r="I43" s="123">
        <f>SUM(I37:I42)</f>
        <v>3018.3160429999998</v>
      </c>
      <c r="J43" s="123"/>
      <c r="K43" s="123"/>
      <c r="L43" s="123"/>
      <c r="M43" s="123"/>
      <c r="N43" s="123"/>
    </row>
    <row r="44" spans="2:16" ht="5" customHeight="1">
      <c r="F44" s="32"/>
      <c r="G44" s="32"/>
      <c r="H44" s="32"/>
      <c r="I44" s="32"/>
      <c r="J44" s="32"/>
      <c r="K44" s="32"/>
      <c r="L44" s="32"/>
      <c r="M44" s="32"/>
      <c r="N44" s="32"/>
    </row>
    <row r="45" spans="2:16" ht="13" customHeight="1">
      <c r="B45" s="8" t="s">
        <v>41</v>
      </c>
      <c r="C45" s="19"/>
      <c r="D45" s="19"/>
      <c r="E45" s="19"/>
      <c r="F45" s="121">
        <v>208.86799600000001</v>
      </c>
      <c r="G45" s="121">
        <v>202.770004</v>
      </c>
      <c r="H45" s="121">
        <v>263.52099600000003</v>
      </c>
      <c r="I45" s="121">
        <v>377.54901100000001</v>
      </c>
      <c r="N45" s="121"/>
    </row>
    <row r="46" spans="2:16" ht="13" customHeight="1">
      <c r="B46" s="8" t="s">
        <v>42</v>
      </c>
      <c r="C46" s="19"/>
      <c r="D46" s="19"/>
      <c r="E46" s="19"/>
      <c r="F46" s="121">
        <v>167.919006</v>
      </c>
      <c r="G46" s="121">
        <v>174.14399700000001</v>
      </c>
      <c r="H46" s="121">
        <v>234.274002</v>
      </c>
      <c r="I46" s="121">
        <v>296.54998799999998</v>
      </c>
      <c r="N46" s="121"/>
    </row>
    <row r="47" spans="2:16" ht="13" customHeight="1">
      <c r="B47" s="8" t="s">
        <v>43</v>
      </c>
      <c r="C47" s="19"/>
      <c r="D47" s="19"/>
      <c r="E47" s="19"/>
      <c r="F47" s="121">
        <v>1.5820000000000001</v>
      </c>
      <c r="G47" s="121">
        <v>5.0890000000000004</v>
      </c>
      <c r="H47" s="121">
        <v>4.9630000000000001</v>
      </c>
      <c r="I47" s="121">
        <v>5.94</v>
      </c>
      <c r="N47" s="121"/>
    </row>
    <row r="48" spans="2:16" ht="13" customHeight="1">
      <c r="B48" s="8" t="s">
        <v>44</v>
      </c>
      <c r="C48" s="19"/>
      <c r="D48" s="19"/>
      <c r="E48" s="19"/>
      <c r="F48" s="121">
        <v>23.757999000000002</v>
      </c>
      <c r="G48" s="121">
        <v>21.085999999999999</v>
      </c>
      <c r="H48" s="121">
        <v>27.757999000000002</v>
      </c>
      <c r="I48" s="121">
        <v>47.352001000000001</v>
      </c>
      <c r="N48" s="121"/>
    </row>
    <row r="49" spans="2:14" ht="13" customHeight="1">
      <c r="B49" s="8" t="s">
        <v>45</v>
      </c>
      <c r="C49" s="19"/>
      <c r="D49" s="19"/>
      <c r="E49" s="19"/>
      <c r="F49" s="121">
        <v>3.12</v>
      </c>
      <c r="G49" s="121">
        <v>4.7930000000000001</v>
      </c>
      <c r="H49" s="121">
        <v>0.72199999999999998</v>
      </c>
      <c r="I49" s="121">
        <v>11.351000000000001</v>
      </c>
      <c r="N49" s="121"/>
    </row>
    <row r="50" spans="2:14" ht="13" customHeight="1">
      <c r="B50" s="8" t="s">
        <v>46</v>
      </c>
      <c r="C50" s="19"/>
      <c r="D50" s="19"/>
      <c r="E50" s="19"/>
      <c r="F50" s="121">
        <v>759.07299799999998</v>
      </c>
      <c r="G50" s="121">
        <v>923.49798599999997</v>
      </c>
      <c r="H50" s="121">
        <v>932.71801800000003</v>
      </c>
      <c r="I50" s="121">
        <v>882.25402799999995</v>
      </c>
      <c r="N50" s="121"/>
    </row>
    <row r="51" spans="2:14" ht="13" customHeight="1">
      <c r="B51" s="12" t="s">
        <v>47</v>
      </c>
      <c r="C51" s="122"/>
      <c r="D51" s="122"/>
      <c r="E51" s="122"/>
      <c r="F51" s="123">
        <f>+SUM(F45:F50)</f>
        <v>1164.3199990000001</v>
      </c>
      <c r="G51" s="123">
        <f t="shared" ref="G51:I51" si="3">+SUM(G45:G50)</f>
        <v>1331.379987</v>
      </c>
      <c r="H51" s="123">
        <f t="shared" si="3"/>
        <v>1463.9560150000002</v>
      </c>
      <c r="I51" s="123">
        <f t="shared" si="3"/>
        <v>1620.996028</v>
      </c>
      <c r="J51" s="123"/>
      <c r="K51" s="123"/>
      <c r="L51" s="123"/>
      <c r="M51" s="123"/>
      <c r="N51" s="123"/>
    </row>
    <row r="52" spans="2:14" ht="5" customHeight="1">
      <c r="F52" s="32"/>
      <c r="G52" s="32"/>
      <c r="H52" s="32"/>
      <c r="I52" s="32"/>
      <c r="J52" s="32"/>
      <c r="K52" s="32"/>
      <c r="L52" s="32"/>
      <c r="M52" s="32"/>
      <c r="N52" s="32"/>
    </row>
    <row r="53" spans="2:14" ht="13" customHeight="1">
      <c r="B53" s="11" t="s">
        <v>48</v>
      </c>
      <c r="C53" s="124"/>
      <c r="D53" s="124"/>
      <c r="E53" s="124"/>
      <c r="F53" s="125">
        <v>0</v>
      </c>
      <c r="G53" s="125">
        <v>0</v>
      </c>
      <c r="H53" s="125">
        <v>0</v>
      </c>
      <c r="I53" s="125">
        <v>0</v>
      </c>
      <c r="J53" s="125"/>
      <c r="K53" s="125"/>
      <c r="L53" s="125"/>
      <c r="M53" s="125"/>
      <c r="N53" s="125"/>
    </row>
    <row r="54" spans="2:14" ht="5" customHeight="1">
      <c r="F54" s="32"/>
      <c r="G54" s="32"/>
      <c r="H54" s="32"/>
      <c r="I54" s="32"/>
      <c r="J54" s="32"/>
      <c r="K54" s="32"/>
      <c r="L54" s="32"/>
      <c r="M54" s="32"/>
      <c r="N54" s="32"/>
    </row>
    <row r="55" spans="2:14" ht="13" customHeight="1">
      <c r="B55" s="259" t="s">
        <v>49</v>
      </c>
      <c r="C55" s="260"/>
      <c r="D55" s="260"/>
      <c r="E55" s="260"/>
      <c r="F55" s="261">
        <f>+F53+F43+F51</f>
        <v>2565.4229969999997</v>
      </c>
      <c r="G55" s="261">
        <f>+G53+G43+G51</f>
        <v>2756.6120019999998</v>
      </c>
      <c r="H55" s="261">
        <f>+H53+H43+H51</f>
        <v>4267.9890000000005</v>
      </c>
      <c r="I55" s="261">
        <f>+I53+I43+I51</f>
        <v>4639.3120710000003</v>
      </c>
      <c r="J55" s="261"/>
      <c r="K55" s="261"/>
      <c r="L55" s="261"/>
      <c r="M55" s="261"/>
      <c r="N55" s="261"/>
    </row>
    <row r="56" spans="2:14" ht="13" customHeight="1">
      <c r="C56" s="19"/>
      <c r="D56" s="19"/>
      <c r="E56" s="19"/>
      <c r="F56" s="32"/>
      <c r="G56" s="32"/>
      <c r="H56" s="32"/>
      <c r="I56" s="32"/>
      <c r="J56" s="32"/>
      <c r="K56" s="32"/>
      <c r="L56" s="32"/>
      <c r="M56" s="32"/>
      <c r="N56" s="32"/>
    </row>
    <row r="57" spans="2:14" ht="13" customHeight="1">
      <c r="B57" s="8" t="s">
        <v>50</v>
      </c>
      <c r="C57" s="19"/>
      <c r="D57" s="19"/>
      <c r="E57" s="19"/>
      <c r="F57" s="121">
        <v>51.596001000000001</v>
      </c>
      <c r="G57" s="121">
        <v>51.671000999999997</v>
      </c>
      <c r="H57" s="121">
        <v>54.737000000000002</v>
      </c>
      <c r="I57" s="121">
        <v>54.737000000000002</v>
      </c>
      <c r="J57" s="121"/>
      <c r="K57" s="121"/>
      <c r="L57" s="121"/>
      <c r="M57" s="121"/>
      <c r="N57" s="121"/>
    </row>
    <row r="58" spans="2:14" ht="13" customHeight="1">
      <c r="B58" s="8" t="s">
        <v>51</v>
      </c>
      <c r="C58" s="19"/>
      <c r="D58" s="19"/>
      <c r="E58" s="19"/>
      <c r="F58" s="121">
        <v>896.00698800000009</v>
      </c>
      <c r="G58" s="121">
        <v>1275.025971</v>
      </c>
      <c r="H58" s="121">
        <v>2050.716003</v>
      </c>
      <c r="I58" s="121">
        <v>2240.7360229999999</v>
      </c>
      <c r="N58" s="121"/>
    </row>
    <row r="59" spans="2:14" ht="13" customHeight="1">
      <c r="B59" s="8" t="s">
        <v>52</v>
      </c>
      <c r="C59" s="19"/>
      <c r="D59" s="19"/>
      <c r="E59" s="19"/>
      <c r="F59" s="121">
        <v>358.68499800000001</v>
      </c>
      <c r="G59" s="121">
        <v>300.35101300000002</v>
      </c>
      <c r="H59" s="121">
        <v>393.53298999999998</v>
      </c>
      <c r="I59" s="121">
        <v>606.69702099999995</v>
      </c>
      <c r="J59" s="121"/>
      <c r="K59" s="121"/>
      <c r="L59" s="121"/>
      <c r="M59" s="121"/>
      <c r="N59" s="121"/>
    </row>
    <row r="60" spans="2:14" ht="13" customHeight="1">
      <c r="B60" s="11" t="s">
        <v>53</v>
      </c>
      <c r="C60" s="124"/>
      <c r="D60" s="124"/>
      <c r="E60" s="124"/>
      <c r="F60" s="126">
        <f>SUM(F57:F59)</f>
        <v>1306.2879870000002</v>
      </c>
      <c r="G60" s="126">
        <f t="shared" ref="G60:I60" si="4">SUM(G57:G59)</f>
        <v>1627.0479849999999</v>
      </c>
      <c r="H60" s="126">
        <f t="shared" si="4"/>
        <v>2498.9859930000002</v>
      </c>
      <c r="I60" s="126">
        <f t="shared" si="4"/>
        <v>2902.170044</v>
      </c>
      <c r="J60" s="126"/>
      <c r="K60" s="126"/>
      <c r="L60" s="126"/>
      <c r="M60" s="126"/>
      <c r="N60" s="126"/>
    </row>
    <row r="61" spans="2:14" ht="13" customHeight="1">
      <c r="B61" s="8" t="s">
        <v>54</v>
      </c>
      <c r="C61" s="19"/>
      <c r="D61" s="19"/>
      <c r="E61" s="19"/>
      <c r="F61" s="121">
        <v>0.08</v>
      </c>
      <c r="G61" s="121">
        <v>8.8999999999999996E-2</v>
      </c>
      <c r="H61" s="121">
        <v>0.108</v>
      </c>
      <c r="I61" s="121">
        <v>0.11600000000000001</v>
      </c>
      <c r="J61" s="121"/>
      <c r="K61" s="121"/>
      <c r="L61" s="121"/>
      <c r="M61" s="121"/>
      <c r="N61" s="121"/>
    </row>
    <row r="62" spans="2:14" ht="13" customHeight="1">
      <c r="B62" s="12" t="s">
        <v>55</v>
      </c>
      <c r="C62" s="122"/>
      <c r="D62" s="122"/>
      <c r="E62" s="122"/>
      <c r="F62" s="123">
        <f>+F61+F60</f>
        <v>1306.3679870000001</v>
      </c>
      <c r="G62" s="123">
        <f>+G61+G60</f>
        <v>1627.1369849999999</v>
      </c>
      <c r="H62" s="123">
        <f>+H61+H60</f>
        <v>2499.0939930000004</v>
      </c>
      <c r="I62" s="123">
        <f>+I61+I60</f>
        <v>2902.2860439999999</v>
      </c>
      <c r="J62" s="123"/>
      <c r="K62" s="123"/>
      <c r="L62" s="123"/>
      <c r="M62" s="123"/>
      <c r="N62" s="123"/>
    </row>
    <row r="63" spans="2:14" ht="5" customHeight="1">
      <c r="F63" s="32"/>
      <c r="G63" s="32"/>
      <c r="H63" s="32"/>
      <c r="I63" s="32"/>
      <c r="J63" s="32"/>
      <c r="K63" s="32"/>
      <c r="L63" s="32"/>
      <c r="M63" s="32"/>
      <c r="N63" s="32"/>
    </row>
    <row r="64" spans="2:14" ht="13" customHeight="1">
      <c r="B64" s="8" t="s">
        <v>56</v>
      </c>
      <c r="C64" s="19"/>
      <c r="D64" s="19"/>
      <c r="E64" s="19"/>
      <c r="F64" s="121">
        <v>611.99700900000005</v>
      </c>
      <c r="G64" s="121">
        <v>562.84399399999995</v>
      </c>
      <c r="H64" s="121">
        <v>624.73199499999998</v>
      </c>
      <c r="I64" s="121">
        <v>718.70898399999999</v>
      </c>
      <c r="L64" s="216"/>
      <c r="N64" s="121"/>
    </row>
    <row r="65" spans="2:15" ht="13" customHeight="1">
      <c r="B65" s="8" t="s">
        <v>57</v>
      </c>
      <c r="C65" s="19"/>
      <c r="D65" s="19"/>
      <c r="E65" s="19"/>
      <c r="F65" s="121">
        <v>0.223</v>
      </c>
      <c r="G65" s="121">
        <v>0.14199999999999999</v>
      </c>
      <c r="H65" s="121">
        <v>0.16300000000000001</v>
      </c>
      <c r="I65" s="121">
        <v>0.11700000000000001</v>
      </c>
      <c r="N65" s="121"/>
    </row>
    <row r="66" spans="2:15" ht="13" customHeight="1">
      <c r="B66" s="8" t="s">
        <v>58</v>
      </c>
      <c r="C66" s="19"/>
      <c r="D66" s="19"/>
      <c r="E66" s="19"/>
      <c r="F66" s="121">
        <v>17.138999999999999</v>
      </c>
      <c r="G66" s="121">
        <v>20.135000000000002</v>
      </c>
      <c r="H66" s="121">
        <v>23.774000000000001</v>
      </c>
      <c r="I66" s="121">
        <v>39.297001000000002</v>
      </c>
      <c r="N66" s="121"/>
    </row>
    <row r="67" spans="2:15" ht="13" customHeight="1">
      <c r="B67" s="8" t="s">
        <v>59</v>
      </c>
      <c r="C67" s="19"/>
      <c r="D67" s="19"/>
      <c r="E67" s="19"/>
      <c r="F67" s="121">
        <v>68.709998999999996</v>
      </c>
      <c r="G67" s="121">
        <v>6.3959999999999999</v>
      </c>
      <c r="H67" s="121">
        <v>225.621002</v>
      </c>
      <c r="I67" s="121">
        <v>15.19</v>
      </c>
      <c r="N67" s="121"/>
    </row>
    <row r="68" spans="2:15" ht="13" customHeight="1">
      <c r="B68" s="12" t="s">
        <v>60</v>
      </c>
      <c r="C68" s="122"/>
      <c r="D68" s="122"/>
      <c r="E68" s="122"/>
      <c r="F68" s="123">
        <f>+SUM(F64:F67)</f>
        <v>698.06900800000005</v>
      </c>
      <c r="G68" s="123">
        <f t="shared" ref="G68:I68" si="5">+SUM(G64:G67)</f>
        <v>589.51699399999995</v>
      </c>
      <c r="H68" s="123">
        <f t="shared" si="5"/>
        <v>874.28999699999997</v>
      </c>
      <c r="I68" s="123">
        <f t="shared" si="5"/>
        <v>773.31298500000003</v>
      </c>
      <c r="J68" s="123"/>
      <c r="K68" s="123"/>
      <c r="L68" s="123"/>
      <c r="M68" s="123"/>
      <c r="N68" s="123"/>
    </row>
    <row r="69" spans="2:15" ht="5" customHeight="1">
      <c r="F69" s="32"/>
      <c r="G69" s="32"/>
      <c r="H69" s="32"/>
      <c r="I69" s="32"/>
      <c r="J69" s="32"/>
      <c r="K69" s="32"/>
      <c r="L69" s="32"/>
      <c r="M69" s="32"/>
      <c r="N69" s="32"/>
    </row>
    <row r="70" spans="2:15" ht="13" customHeight="1">
      <c r="B70" s="8" t="s">
        <v>61</v>
      </c>
      <c r="C70" s="19"/>
      <c r="D70" s="19"/>
      <c r="E70" s="19"/>
      <c r="F70" s="121">
        <v>126.780998</v>
      </c>
      <c r="G70" s="121">
        <v>150.42300399999999</v>
      </c>
      <c r="H70" s="121">
        <v>289.19101000000001</v>
      </c>
      <c r="I70" s="121">
        <v>194.070007</v>
      </c>
      <c r="N70" s="121"/>
    </row>
    <row r="71" spans="2:15" ht="13" customHeight="1">
      <c r="B71" s="8" t="s">
        <v>62</v>
      </c>
      <c r="C71" s="19"/>
      <c r="D71" s="19"/>
      <c r="E71" s="19"/>
      <c r="F71" s="121">
        <v>248.621002</v>
      </c>
      <c r="G71" s="121">
        <v>211.90299999999999</v>
      </c>
      <c r="H71" s="121">
        <v>348.95300300000002</v>
      </c>
      <c r="I71" s="121">
        <v>482.42498799999998</v>
      </c>
      <c r="N71" s="121"/>
    </row>
    <row r="72" spans="2:15" ht="13" customHeight="1">
      <c r="B72" s="8" t="s">
        <v>63</v>
      </c>
      <c r="C72" s="19"/>
      <c r="D72" s="19"/>
      <c r="E72" s="19"/>
      <c r="F72" s="121">
        <v>98.449996999999996</v>
      </c>
      <c r="G72" s="121">
        <v>93.622001999999995</v>
      </c>
      <c r="H72" s="121">
        <v>131.182007</v>
      </c>
      <c r="I72" s="121">
        <v>158.854996</v>
      </c>
      <c r="N72" s="121"/>
    </row>
    <row r="73" spans="2:15" ht="13" customHeight="1">
      <c r="B73" s="8" t="s">
        <v>64</v>
      </c>
      <c r="C73" s="19"/>
      <c r="D73" s="19"/>
      <c r="E73" s="19"/>
      <c r="F73" s="121">
        <v>87.134003000000007</v>
      </c>
      <c r="G73" s="121">
        <v>84.010002</v>
      </c>
      <c r="H73" s="121">
        <v>125.278999</v>
      </c>
      <c r="I73" s="121">
        <v>128.36300700000001</v>
      </c>
      <c r="N73" s="121"/>
    </row>
    <row r="74" spans="2:15" ht="13" customHeight="1">
      <c r="B74" s="12" t="s">
        <v>65</v>
      </c>
      <c r="C74" s="122"/>
      <c r="D74" s="122"/>
      <c r="E74" s="122"/>
      <c r="F74" s="123">
        <f>SUM(F70:F73)</f>
        <v>560.98599999999999</v>
      </c>
      <c r="G74" s="123">
        <f t="shared" ref="G74:I74" si="6">SUM(G70:G73)</f>
        <v>539.95800800000006</v>
      </c>
      <c r="H74" s="123">
        <f t="shared" si="6"/>
        <v>894.60501900000008</v>
      </c>
      <c r="I74" s="123">
        <f t="shared" si="6"/>
        <v>963.71299800000008</v>
      </c>
      <c r="J74" s="123"/>
      <c r="K74" s="123"/>
      <c r="L74" s="123"/>
      <c r="M74" s="123"/>
      <c r="N74" s="123"/>
    </row>
    <row r="75" spans="2:15" ht="5" customHeight="1">
      <c r="F75" s="32"/>
      <c r="G75" s="32"/>
      <c r="H75" s="32"/>
      <c r="I75" s="32"/>
      <c r="J75" s="32"/>
      <c r="K75" s="32"/>
      <c r="L75" s="32"/>
      <c r="M75" s="32"/>
      <c r="N75" s="32"/>
    </row>
    <row r="76" spans="2:15" ht="13" customHeight="1">
      <c r="B76" s="11" t="s">
        <v>66</v>
      </c>
      <c r="C76" s="124"/>
      <c r="D76" s="124"/>
      <c r="E76" s="124"/>
      <c r="F76" s="125">
        <v>0</v>
      </c>
      <c r="G76" s="125">
        <v>0</v>
      </c>
      <c r="H76" s="125">
        <v>0</v>
      </c>
      <c r="I76" s="125">
        <v>0</v>
      </c>
      <c r="J76" s="125"/>
      <c r="K76" s="125"/>
      <c r="L76" s="125"/>
      <c r="M76" s="125"/>
      <c r="N76" s="125"/>
    </row>
    <row r="77" spans="2:15" ht="5" customHeight="1">
      <c r="F77" s="32"/>
      <c r="G77" s="32"/>
      <c r="H77" s="32"/>
      <c r="I77" s="32"/>
      <c r="J77" s="32"/>
      <c r="K77" s="32"/>
      <c r="L77" s="32"/>
      <c r="M77" s="32"/>
      <c r="N77" s="32"/>
    </row>
    <row r="78" spans="2:15" ht="13" customHeight="1">
      <c r="B78" s="259" t="s">
        <v>67</v>
      </c>
      <c r="C78" s="260"/>
      <c r="D78" s="260"/>
      <c r="E78" s="260"/>
      <c r="F78" s="261">
        <f>+F74+F68+F62+F76</f>
        <v>2565.4229949999999</v>
      </c>
      <c r="G78" s="261">
        <f>+G74+G68+G62+G76</f>
        <v>2756.6119870000002</v>
      </c>
      <c r="H78" s="261">
        <f>+H74+H68+H62+H76</f>
        <v>4267.9890090000008</v>
      </c>
      <c r="I78" s="261">
        <f>+I74+I68+I62+I76</f>
        <v>4639.3120269999999</v>
      </c>
      <c r="J78" s="261"/>
      <c r="K78" s="261"/>
      <c r="L78" s="261"/>
      <c r="M78" s="261"/>
      <c r="N78" s="261"/>
    </row>
    <row r="79" spans="2:15" ht="13" customHeight="1">
      <c r="K79" s="128"/>
      <c r="L79" s="128"/>
      <c r="M79" s="128"/>
      <c r="N79" s="128"/>
      <c r="O79" s="128"/>
    </row>
    <row r="80" spans="2:15" ht="13" customHeight="1">
      <c r="B80" s="487" t="s">
        <v>68</v>
      </c>
      <c r="C80" s="488"/>
      <c r="D80" s="488"/>
      <c r="E80" s="488"/>
      <c r="F80" s="488"/>
      <c r="G80" s="488"/>
      <c r="H80" s="488"/>
      <c r="I80" s="488"/>
      <c r="J80" s="488"/>
      <c r="K80" s="488"/>
      <c r="L80" s="488"/>
      <c r="M80" s="488"/>
      <c r="N80" s="488"/>
    </row>
    <row r="81" spans="1:15" ht="5" customHeight="1"/>
    <row r="82" spans="1:15" ht="13" customHeight="1">
      <c r="A82" s="8"/>
      <c r="B82" s="8" t="s">
        <v>69</v>
      </c>
      <c r="C82" s="19"/>
      <c r="D82" s="19"/>
      <c r="E82" s="19"/>
      <c r="F82" s="121">
        <v>100.85</v>
      </c>
      <c r="G82" s="121">
        <v>0</v>
      </c>
      <c r="H82" s="128">
        <v>120.68</v>
      </c>
      <c r="I82" s="121">
        <v>160.96</v>
      </c>
      <c r="J82"/>
      <c r="K82" s="128"/>
      <c r="L82" s="128"/>
      <c r="M82" s="128"/>
      <c r="N82" s="128"/>
      <c r="O82" s="128"/>
    </row>
    <row r="83" spans="1:15" ht="13" customHeight="1">
      <c r="A83" s="8"/>
      <c r="B83" s="8" t="s">
        <v>70</v>
      </c>
      <c r="C83" s="19"/>
      <c r="D83" s="19"/>
      <c r="E83" s="19"/>
      <c r="F83" s="128">
        <v>251.72</v>
      </c>
      <c r="G83" s="128">
        <v>252.67</v>
      </c>
      <c r="H83" s="128">
        <v>265.57</v>
      </c>
      <c r="I83" s="128">
        <v>268.97000000000003</v>
      </c>
      <c r="N83" s="128"/>
      <c r="O83" s="128"/>
    </row>
    <row r="84" spans="1:15" ht="13" customHeight="1">
      <c r="A84" s="8"/>
      <c r="B84" s="8" t="s">
        <v>71</v>
      </c>
      <c r="C84" s="19"/>
      <c r="D84" s="19"/>
      <c r="E84" s="19"/>
      <c r="F84" s="128">
        <v>252.31</v>
      </c>
      <c r="G84" s="128">
        <v>252.77</v>
      </c>
      <c r="H84" s="128">
        <v>265.58</v>
      </c>
      <c r="I84" s="128">
        <v>268.82</v>
      </c>
      <c r="J84"/>
      <c r="K84" s="128"/>
      <c r="L84" s="128"/>
      <c r="N84" s="128"/>
      <c r="O84" s="128"/>
    </row>
    <row r="85" spans="1:15" ht="13" customHeight="1">
      <c r="A85" s="8"/>
      <c r="B85" s="8" t="s">
        <v>72</v>
      </c>
      <c r="C85" s="19"/>
      <c r="D85" s="19"/>
      <c r="E85" s="19"/>
      <c r="F85" s="121">
        <v>40.07</v>
      </c>
      <c r="G85" s="121">
        <v>50.14</v>
      </c>
      <c r="H85" s="121">
        <v>64.02</v>
      </c>
      <c r="I85" s="121">
        <v>49.5</v>
      </c>
      <c r="J85"/>
      <c r="K85" s="128"/>
      <c r="L85" s="128"/>
      <c r="M85" s="128"/>
      <c r="N85" s="128"/>
      <c r="O85" s="128"/>
    </row>
    <row r="86" spans="1:15" ht="13" customHeight="1">
      <c r="A86" s="8"/>
      <c r="B86" s="8" t="s">
        <v>73</v>
      </c>
      <c r="C86" s="19"/>
      <c r="D86" s="19"/>
      <c r="E86" s="19"/>
      <c r="F86" s="65">
        <f>+F85*F84</f>
        <v>10110.0617</v>
      </c>
      <c r="G86" s="65">
        <f>+G85*G84</f>
        <v>12673.8878</v>
      </c>
      <c r="H86" s="65">
        <f>+H85*H84</f>
        <v>17002.431599999996</v>
      </c>
      <c r="I86" s="65">
        <f>+I85*I84</f>
        <v>13306.59</v>
      </c>
      <c r="J86"/>
      <c r="K86" s="128"/>
      <c r="L86" s="128"/>
      <c r="M86" s="128"/>
      <c r="N86" s="128"/>
      <c r="O86" s="128"/>
    </row>
    <row r="87" spans="1:15" ht="13" customHeight="1">
      <c r="K87" s="128"/>
      <c r="L87" s="128"/>
      <c r="M87" s="128"/>
      <c r="N87" s="128"/>
      <c r="O87" s="128"/>
    </row>
    <row r="88" spans="1:15" ht="13" customHeight="1">
      <c r="K88" s="128"/>
      <c r="L88" s="128"/>
      <c r="M88" s="128"/>
      <c r="N88" s="128"/>
      <c r="O88" s="128"/>
    </row>
    <row r="89" spans="1:15" ht="13" customHeight="1">
      <c r="K89" s="128"/>
      <c r="L89" s="128"/>
      <c r="M89" s="128"/>
      <c r="N89" s="128"/>
      <c r="O89" s="128"/>
    </row>
    <row r="90" spans="1:15" ht="13" customHeight="1">
      <c r="K90" s="128"/>
      <c r="L90" s="128"/>
      <c r="M90" s="128"/>
      <c r="N90" s="128"/>
      <c r="O90" s="128"/>
    </row>
    <row r="91" spans="1:15" ht="13" customHeight="1">
      <c r="K91" s="128"/>
      <c r="L91" s="128"/>
      <c r="M91" s="128"/>
      <c r="N91" s="128"/>
      <c r="O91" s="128"/>
    </row>
    <row r="92" spans="1:15" ht="13" customHeight="1">
      <c r="K92" s="128"/>
      <c r="L92" s="128"/>
      <c r="M92" s="128"/>
      <c r="N92" s="128"/>
      <c r="O92" s="128"/>
    </row>
    <row r="93" spans="1:15" ht="13" customHeight="1">
      <c r="K93" s="128"/>
      <c r="L93" s="128"/>
      <c r="M93" s="128"/>
      <c r="N93" s="128"/>
      <c r="O93" s="128"/>
    </row>
    <row r="94" spans="1:15" ht="13" customHeight="1">
      <c r="K94" s="128"/>
      <c r="L94" s="128"/>
      <c r="M94" s="128"/>
      <c r="N94" s="128"/>
      <c r="O94" s="128"/>
    </row>
    <row r="95" spans="1:15" ht="13" customHeight="1">
      <c r="K95" s="128"/>
      <c r="L95" s="128"/>
      <c r="M95" s="128"/>
      <c r="N95" s="128"/>
      <c r="O95" s="128"/>
    </row>
    <row r="96" spans="1:15" ht="13" customHeight="1">
      <c r="K96" s="128"/>
      <c r="L96" s="128"/>
      <c r="M96" s="128"/>
      <c r="N96" s="128"/>
      <c r="O96" s="128"/>
    </row>
    <row r="97" spans="11:15" ht="13" customHeight="1">
      <c r="K97" s="128"/>
      <c r="L97" s="128"/>
      <c r="M97" s="128"/>
      <c r="N97" s="128"/>
      <c r="O97" s="128"/>
    </row>
    <row r="98" spans="11:15" ht="13" customHeight="1">
      <c r="K98" s="128"/>
      <c r="L98" s="128"/>
      <c r="M98" s="128"/>
      <c r="N98" s="128"/>
      <c r="O98" s="128"/>
    </row>
    <row r="99" spans="11:15" ht="13" customHeight="1">
      <c r="K99" s="128"/>
      <c r="L99" s="128"/>
      <c r="M99" s="128"/>
      <c r="N99" s="128"/>
      <c r="O99" s="128"/>
    </row>
    <row r="100" spans="11:15" ht="13" customHeight="1">
      <c r="K100" s="128"/>
      <c r="L100" s="128"/>
      <c r="M100" s="128"/>
      <c r="N100" s="128"/>
      <c r="O100" s="128"/>
    </row>
    <row r="101" spans="11:15" ht="13" customHeight="1">
      <c r="K101" s="128"/>
      <c r="L101" s="128"/>
      <c r="M101" s="128"/>
      <c r="N101" s="128"/>
      <c r="O101" s="128"/>
    </row>
    <row r="102" spans="11:15" ht="13" customHeight="1">
      <c r="K102" s="128"/>
      <c r="L102" s="128"/>
      <c r="M102" s="128"/>
      <c r="N102" s="128"/>
      <c r="O102" s="128"/>
    </row>
    <row r="103" spans="11:15" ht="13" customHeight="1">
      <c r="K103" s="128"/>
      <c r="L103" s="128"/>
      <c r="M103" s="128"/>
      <c r="N103" s="128"/>
      <c r="O103" s="128"/>
    </row>
    <row r="104" spans="11:15" ht="13" customHeight="1">
      <c r="K104" s="128"/>
      <c r="L104" s="128"/>
      <c r="M104" s="128"/>
      <c r="N104" s="128"/>
      <c r="O104" s="128"/>
    </row>
    <row r="105" spans="11:15" ht="13" customHeight="1">
      <c r="K105" s="128"/>
      <c r="L105" s="128"/>
      <c r="M105" s="128"/>
      <c r="N105" s="128"/>
      <c r="O105" s="128"/>
    </row>
    <row r="106" spans="11:15" ht="13" customHeight="1">
      <c r="K106" s="128"/>
      <c r="L106" s="128"/>
      <c r="M106" s="128"/>
      <c r="N106" s="128"/>
      <c r="O106" s="128"/>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U175"/>
  <sheetViews>
    <sheetView showGridLines="0" zoomScale="139" zoomScaleNormal="100" workbookViewId="0">
      <pane ySplit="6" topLeftCell="A7" activePane="bottomLeft" state="frozen"/>
      <selection activeCell="N59" sqref="N59"/>
      <selection pane="bottomLeft" activeCell="A2" sqref="A2"/>
    </sheetView>
  </sheetViews>
  <sheetFormatPr baseColWidth="10" defaultColWidth="10.75" defaultRowHeight="13" customHeight="1"/>
  <cols>
    <col min="1" max="1" width="16.75" style="6" customWidth="1"/>
    <col min="2" max="2" width="36.75" style="8" customWidth="1"/>
    <col min="3" max="3" width="17.25" style="6" customWidth="1"/>
    <col min="4" max="5" width="10.75" style="6"/>
    <col min="6" max="7" width="11.25" style="6" bestFit="1" customWidth="1"/>
    <col min="8" max="8" width="11" style="6" bestFit="1" customWidth="1"/>
    <col min="9" max="9" width="11.25" style="6" bestFit="1" customWidth="1"/>
    <col min="10" max="10" width="13.5" style="6" customWidth="1"/>
    <col min="11" max="14" width="11" style="6" bestFit="1" customWidth="1"/>
    <col min="15" max="15" width="3.75" customWidth="1"/>
    <col min="16" max="16384" width="10.75" style="6"/>
  </cols>
  <sheetData>
    <row r="1" spans="1:21" ht="13" customHeight="1">
      <c r="B1" s="7"/>
      <c r="F1" s="25"/>
      <c r="M1" s="25"/>
    </row>
    <row r="2" spans="1:21" ht="20" customHeight="1">
      <c r="A2" s="479"/>
      <c r="B2" s="491" t="s">
        <v>74</v>
      </c>
      <c r="C2" s="480"/>
      <c r="D2" s="480"/>
      <c r="E2" s="480"/>
      <c r="F2" s="480"/>
      <c r="G2" s="480"/>
      <c r="H2" s="480"/>
      <c r="I2" s="480"/>
      <c r="J2" s="480"/>
      <c r="K2" s="480"/>
      <c r="L2" s="480"/>
      <c r="M2" s="480"/>
      <c r="N2" s="479"/>
    </row>
    <row r="3" spans="1:21" ht="13" customHeight="1">
      <c r="F3" s="23" t="s">
        <v>6</v>
      </c>
      <c r="G3" s="22"/>
      <c r="H3" s="22"/>
      <c r="I3" s="22"/>
      <c r="J3" s="21" t="s">
        <v>7</v>
      </c>
      <c r="K3" s="21"/>
      <c r="L3" s="21"/>
      <c r="M3" s="21"/>
      <c r="N3" s="21"/>
    </row>
    <row r="4" spans="1:21" ht="5" customHeight="1">
      <c r="F4" s="25"/>
    </row>
    <row r="5" spans="1:21" ht="15" customHeight="1">
      <c r="B5" s="481" t="str">
        <f>AsReported!B5</f>
        <v>(EUR m)</v>
      </c>
      <c r="C5" s="482"/>
      <c r="D5" s="483" t="str">
        <f>AsReported!D5</f>
        <v>Driver</v>
      </c>
      <c r="E5" s="484"/>
      <c r="F5" s="262">
        <f>AsReported!F5</f>
        <v>43830</v>
      </c>
      <c r="G5" s="263">
        <f>AsReported!G5</f>
        <v>44196</v>
      </c>
      <c r="H5" s="263">
        <f>AsReported!H5</f>
        <v>44561</v>
      </c>
      <c r="I5" s="263">
        <f>AsReported!I5</f>
        <v>44926</v>
      </c>
      <c r="J5" s="492">
        <v>2023</v>
      </c>
      <c r="K5" s="493">
        <v>2024</v>
      </c>
      <c r="L5" s="493">
        <v>2025</v>
      </c>
      <c r="M5" s="493">
        <v>2026</v>
      </c>
      <c r="N5" s="493">
        <v>2027</v>
      </c>
      <c r="P5" s="482" t="s">
        <v>10</v>
      </c>
      <c r="Q5" s="482"/>
      <c r="R5" s="482"/>
      <c r="S5" s="482"/>
      <c r="T5" s="482"/>
      <c r="U5" s="482"/>
    </row>
    <row r="6" spans="1:21" ht="5" customHeight="1"/>
    <row r="7" spans="1:21" ht="5" customHeight="1"/>
    <row r="8" spans="1:21" ht="13" customHeight="1">
      <c r="B8" s="487" t="s">
        <v>75</v>
      </c>
      <c r="C8" s="488"/>
      <c r="D8" s="488"/>
      <c r="E8" s="488"/>
      <c r="F8" s="488"/>
      <c r="G8" s="488"/>
      <c r="H8" s="488"/>
      <c r="I8" s="488"/>
      <c r="J8" s="488"/>
      <c r="K8" s="488"/>
      <c r="L8" s="488"/>
      <c r="M8" s="488"/>
      <c r="N8" s="488"/>
    </row>
    <row r="9" spans="1:21" ht="5" customHeight="1"/>
    <row r="10" spans="1:21" ht="13" customHeight="1">
      <c r="B10" s="11" t="s">
        <v>76</v>
      </c>
      <c r="C10" s="34"/>
      <c r="D10" s="34"/>
      <c r="E10" s="34"/>
      <c r="F10" s="34">
        <f>+AsReported!F15</f>
        <v>1627.7039789999999</v>
      </c>
      <c r="G10" s="34">
        <f>+AsReported!G15</f>
        <v>1440.409058</v>
      </c>
      <c r="H10" s="34">
        <f>+AsReported!H15</f>
        <v>2046.1030270000001</v>
      </c>
      <c r="I10" s="34">
        <f>+AsReported!I15</f>
        <v>2602.889893</v>
      </c>
      <c r="J10" s="34">
        <f>+RevAssumptions!J15*RevAssumptions!J18*RevAssumptions!J19*1000</f>
        <v>3220.5379823978315</v>
      </c>
      <c r="K10" s="34">
        <f>+RevAssumptions!K15*RevAssumptions!K18*RevAssumptions!K19*1000</f>
        <v>3597.15432803866</v>
      </c>
      <c r="L10" s="34">
        <f>+RevAssumptions!L15*RevAssumptions!L18*RevAssumptions!L19*1000</f>
        <v>3919.6161628203831</v>
      </c>
      <c r="M10" s="34">
        <f>+RevAssumptions!M15*RevAssumptions!M18*RevAssumptions!M19*1000</f>
        <v>4181.9372391561337</v>
      </c>
      <c r="N10" s="34">
        <f>+RevAssumptions!N15*RevAssumptions!N18*RevAssumptions!N19*1000</f>
        <v>4443.7108717016336</v>
      </c>
      <c r="O10" s="34"/>
    </row>
    <row r="11" spans="1:21" ht="13" customHeight="1">
      <c r="B11" s="13" t="s">
        <v>77</v>
      </c>
      <c r="C11" s="35"/>
      <c r="D11" s="35"/>
      <c r="E11" s="35"/>
      <c r="F11" s="35"/>
      <c r="G11" s="35">
        <f t="shared" ref="G11:N11" si="0">+G10/F10-1</f>
        <v>-0.11506694301691567</v>
      </c>
      <c r="H11" s="35">
        <f t="shared" si="0"/>
        <v>0.42050136080163436</v>
      </c>
      <c r="I11" s="35">
        <f t="shared" si="0"/>
        <v>0.27212064038454686</v>
      </c>
      <c r="J11" s="35">
        <f t="shared" si="0"/>
        <v>0.23729320670032328</v>
      </c>
      <c r="K11" s="35">
        <f t="shared" si="0"/>
        <v>0.11694205989783768</v>
      </c>
      <c r="L11" s="35">
        <f t="shared" si="0"/>
        <v>8.9643591954962076E-2</v>
      </c>
      <c r="M11" s="35">
        <f t="shared" si="0"/>
        <v>6.6925195080070221E-2</v>
      </c>
      <c r="N11" s="35">
        <f t="shared" si="0"/>
        <v>6.2596260435109352E-2</v>
      </c>
    </row>
    <row r="12" spans="1:21" ht="5" customHeight="1"/>
    <row r="13" spans="1:21" ht="13" customHeight="1">
      <c r="B13" s="8" t="s">
        <v>18</v>
      </c>
      <c r="C13" s="32"/>
      <c r="D13" s="32"/>
      <c r="E13" s="32"/>
      <c r="F13" s="32">
        <f>AsReported!F16-SUM(F19:F20)</f>
        <v>-191.304011</v>
      </c>
      <c r="G13" s="32">
        <f>AsReported!G16-SUM(G19:G20)</f>
        <v>-149.80499399999999</v>
      </c>
      <c r="H13" s="32">
        <f>AsReported!H16-SUM(H19:H20)</f>
        <v>-232.67699100000002</v>
      </c>
      <c r="I13" s="32">
        <f>AsReported!I16-SUM(I19:I20)</f>
        <v>-350.13699700000001</v>
      </c>
      <c r="J13" s="32">
        <f t="shared" ref="J13:N15" si="1">+J$10*J40</f>
        <v>-354.25917806376145</v>
      </c>
      <c r="K13" s="32">
        <f t="shared" si="1"/>
        <v>-395.68697608425259</v>
      </c>
      <c r="L13" s="32">
        <f t="shared" si="1"/>
        <v>-431.15777791024215</v>
      </c>
      <c r="M13" s="32">
        <f t="shared" si="1"/>
        <v>-460.01309630717469</v>
      </c>
      <c r="N13" s="32">
        <f t="shared" si="1"/>
        <v>-488.80819588717969</v>
      </c>
      <c r="P13" s="6" t="s">
        <v>78</v>
      </c>
    </row>
    <row r="14" spans="1:21" ht="13" customHeight="1">
      <c r="B14" s="8" t="s">
        <v>20</v>
      </c>
      <c r="C14" s="32"/>
      <c r="D14" s="32"/>
      <c r="E14" s="32"/>
      <c r="F14" s="32">
        <f>AsReported!F19</f>
        <v>-113.152</v>
      </c>
      <c r="G14" s="32">
        <f>AsReported!G19</f>
        <v>-83.786002999999994</v>
      </c>
      <c r="H14" s="32">
        <f>AsReported!H19</f>
        <v>-142.08200099999999</v>
      </c>
      <c r="I14" s="32">
        <f>AsReported!I19</f>
        <v>-171.93600499999999</v>
      </c>
      <c r="J14" s="32">
        <f t="shared" si="1"/>
        <v>-225.43765876784823</v>
      </c>
      <c r="K14" s="32">
        <f t="shared" si="1"/>
        <v>-251.80080296270623</v>
      </c>
      <c r="L14" s="32">
        <f t="shared" si="1"/>
        <v>-274.37313139742685</v>
      </c>
      <c r="M14" s="32">
        <f t="shared" si="1"/>
        <v>-292.73560674092937</v>
      </c>
      <c r="N14" s="32">
        <f t="shared" si="1"/>
        <v>-311.05976101911438</v>
      </c>
    </row>
    <row r="15" spans="1:21" ht="13" customHeight="1">
      <c r="B15" s="8" t="s">
        <v>79</v>
      </c>
      <c r="C15" s="32"/>
      <c r="D15" s="32"/>
      <c r="E15" s="32"/>
      <c r="F15" s="32">
        <f>SUM(AsReported!F20:F22)</f>
        <v>-660.32901000000004</v>
      </c>
      <c r="G15" s="32">
        <f>SUM(AsReported!G20:G22)</f>
        <v>-637.02700800000002</v>
      </c>
      <c r="H15" s="32">
        <f>SUM(AsReported!H20:H22)</f>
        <v>-845.60398899999996</v>
      </c>
      <c r="I15" s="32">
        <f>SUM(AsReported!I20:I22)</f>
        <v>-1041.360015</v>
      </c>
      <c r="J15" s="32">
        <f t="shared" si="1"/>
        <v>-1320.4205727831109</v>
      </c>
      <c r="K15" s="32">
        <f t="shared" si="1"/>
        <v>-1474.8332744958504</v>
      </c>
      <c r="L15" s="32">
        <f t="shared" si="1"/>
        <v>-1607.0426267563571</v>
      </c>
      <c r="M15" s="32">
        <f t="shared" si="1"/>
        <v>-1714.5942680540147</v>
      </c>
      <c r="N15" s="32">
        <f t="shared" si="1"/>
        <v>-1821.9214573976697</v>
      </c>
    </row>
    <row r="16" spans="1:21" ht="13" customHeight="1">
      <c r="B16" s="12" t="s">
        <v>80</v>
      </c>
      <c r="C16" s="33"/>
      <c r="D16" s="33"/>
      <c r="E16" s="33"/>
      <c r="F16" s="33">
        <f>+F10+SUM(F13:F15)</f>
        <v>662.91895799999986</v>
      </c>
      <c r="G16" s="33">
        <f>+G10+SUM(G13:G15)</f>
        <v>569.79105299999992</v>
      </c>
      <c r="H16" s="33">
        <f>+H10+SUM(H13:H15)</f>
        <v>825.74004600000012</v>
      </c>
      <c r="I16" s="33">
        <f>+I10+SUM(I13:I15)</f>
        <v>1039.4568760000002</v>
      </c>
      <c r="J16" s="33">
        <f>+J10+SUM(J13:J15)</f>
        <v>1320.4205727831109</v>
      </c>
      <c r="K16" s="33">
        <f t="shared" ref="K16:N16" si="2">+K10+SUM(K13:K15)</f>
        <v>1474.8332744958507</v>
      </c>
      <c r="L16" s="33">
        <f t="shared" si="2"/>
        <v>1607.0426267563571</v>
      </c>
      <c r="M16" s="33">
        <f t="shared" si="2"/>
        <v>1714.5942680540147</v>
      </c>
      <c r="N16" s="33">
        <f t="shared" si="2"/>
        <v>1821.9214573976697</v>
      </c>
    </row>
    <row r="17" spans="2:15" ht="13" customHeight="1">
      <c r="B17" s="13" t="s">
        <v>81</v>
      </c>
      <c r="C17" s="35"/>
      <c r="D17" s="35"/>
      <c r="E17" s="35"/>
      <c r="F17" s="35">
        <f>+F16/F$10</f>
        <v>0.40727243193647061</v>
      </c>
      <c r="G17" s="35">
        <f t="shared" ref="G17:N17" si="3">+G16/G$10</f>
        <v>0.39557586078440221</v>
      </c>
      <c r="H17" s="35">
        <f t="shared" si="3"/>
        <v>0.40356718850599699</v>
      </c>
      <c r="I17" s="35">
        <f t="shared" si="3"/>
        <v>0.39934723277977713</v>
      </c>
      <c r="J17" s="35">
        <f t="shared" si="3"/>
        <v>0.41</v>
      </c>
      <c r="K17" s="35">
        <f t="shared" si="3"/>
        <v>0.41000000000000003</v>
      </c>
      <c r="L17" s="35">
        <f t="shared" si="3"/>
        <v>0.41000000000000003</v>
      </c>
      <c r="M17" s="35">
        <f t="shared" si="3"/>
        <v>0.41</v>
      </c>
      <c r="N17" s="35">
        <f t="shared" si="3"/>
        <v>0.41</v>
      </c>
    </row>
    <row r="18" spans="2:15" ht="5" customHeight="1"/>
    <row r="19" spans="2:15" ht="13" customHeight="1">
      <c r="B19" s="8" t="s">
        <v>82</v>
      </c>
      <c r="C19" s="32"/>
      <c r="D19" s="32"/>
      <c r="E19" s="32"/>
      <c r="F19" s="316">
        <v>-157.53</v>
      </c>
      <c r="G19" s="316">
        <v>-185.3</v>
      </c>
      <c r="H19" s="316">
        <v>-208.28</v>
      </c>
      <c r="I19" s="316">
        <v>-242.75</v>
      </c>
      <c r="J19" s="32">
        <f>-J61</f>
        <v>-294.1088139069127</v>
      </c>
      <c r="K19" s="32">
        <f>-K61</f>
        <v>-402.8324472129222</v>
      </c>
      <c r="L19" s="32">
        <f>-L61</f>
        <v>-522.70447447389847</v>
      </c>
      <c r="M19" s="32">
        <f>-M61</f>
        <v>-487.44217527772423</v>
      </c>
      <c r="N19" s="32">
        <f>-N61</f>
        <v>-546.70780400347439</v>
      </c>
    </row>
    <row r="20" spans="2:15" ht="13" customHeight="1">
      <c r="B20" s="8" t="s">
        <v>83</v>
      </c>
      <c r="C20" s="32"/>
      <c r="D20" s="32"/>
      <c r="E20" s="32"/>
      <c r="F20" s="316">
        <v>-13.59</v>
      </c>
      <c r="G20" s="316">
        <v>-15.67</v>
      </c>
      <c r="H20" s="316">
        <v>-38.24</v>
      </c>
      <c r="I20" s="316">
        <v>-22.16</v>
      </c>
      <c r="J20" s="32">
        <f>J$10*J44</f>
        <v>-32.205379823978312</v>
      </c>
      <c r="K20" s="32">
        <f>K$10*K44</f>
        <v>-35.971543280386598</v>
      </c>
      <c r="L20" s="32">
        <f>L$10*L44</f>
        <v>-39.196161628203832</v>
      </c>
      <c r="M20" s="32">
        <f>M$10*M44</f>
        <v>-41.819372391561338</v>
      </c>
      <c r="N20" s="32">
        <f>N$10*N44</f>
        <v>-44.437108717016336</v>
      </c>
    </row>
    <row r="21" spans="2:15" ht="13" customHeight="1">
      <c r="B21" s="12" t="s">
        <v>84</v>
      </c>
      <c r="C21" s="33"/>
      <c r="D21" s="33"/>
      <c r="E21" s="33"/>
      <c r="F21" s="33">
        <f>+F16+F19+F20</f>
        <v>491.79895799999991</v>
      </c>
      <c r="G21" s="33">
        <f>+G16+G19+G20</f>
        <v>368.82105299999989</v>
      </c>
      <c r="H21" s="33">
        <f>+H16+H19+H20</f>
        <v>579.22004600000014</v>
      </c>
      <c r="I21" s="33">
        <f>+I16+I19+I20</f>
        <v>774.54687600000022</v>
      </c>
      <c r="J21" s="33">
        <f t="shared" ref="J21:N21" si="4">+J16+J19+J20</f>
        <v>994.10637905221984</v>
      </c>
      <c r="K21" s="33">
        <f t="shared" si="4"/>
        <v>1036.0292840025418</v>
      </c>
      <c r="L21" s="33">
        <f t="shared" si="4"/>
        <v>1045.1419906542549</v>
      </c>
      <c r="M21" s="33">
        <f t="shared" si="4"/>
        <v>1185.3327203847291</v>
      </c>
      <c r="N21" s="33">
        <f t="shared" si="4"/>
        <v>1230.7765446771789</v>
      </c>
    </row>
    <row r="22" spans="2:15" ht="13" customHeight="1">
      <c r="B22" s="13" t="s">
        <v>81</v>
      </c>
      <c r="C22" s="35"/>
      <c r="D22" s="35"/>
      <c r="E22" s="35"/>
      <c r="F22" s="35">
        <f>+F21/F$10</f>
        <v>0.30214275098236393</v>
      </c>
      <c r="G22" s="35">
        <f>+G21/G$10</f>
        <v>0.2560529947736554</v>
      </c>
      <c r="H22" s="35">
        <f>+H21/H$10</f>
        <v>0.28308449689811249</v>
      </c>
      <c r="I22" s="35">
        <f>+I21/I$10</f>
        <v>0.29757189425607417</v>
      </c>
      <c r="J22" s="35">
        <f t="shared" ref="J22:N22" si="5">+J21/J$10</f>
        <v>0.30867711683128918</v>
      </c>
      <c r="K22" s="35">
        <f t="shared" si="5"/>
        <v>0.28801357671174321</v>
      </c>
      <c r="L22" s="35">
        <f t="shared" si="5"/>
        <v>0.26664396390850087</v>
      </c>
      <c r="M22" s="35">
        <f t="shared" si="5"/>
        <v>0.28344105915465995</v>
      </c>
      <c r="N22" s="35">
        <f t="shared" si="5"/>
        <v>0.27697043759417156</v>
      </c>
    </row>
    <row r="23" spans="2:15" ht="5" customHeight="1"/>
    <row r="24" spans="2:15" ht="13" customHeight="1">
      <c r="B24" s="8" t="s">
        <v>85</v>
      </c>
      <c r="C24" s="32"/>
      <c r="D24" s="32"/>
      <c r="E24" s="32"/>
      <c r="F24" s="32">
        <f>AsReported!F25</f>
        <v>1.238</v>
      </c>
      <c r="G24" s="32">
        <f>AsReported!G25</f>
        <v>0.75900000000000001</v>
      </c>
      <c r="H24" s="32">
        <f>AsReported!H25</f>
        <v>3.0609999999999999</v>
      </c>
      <c r="I24" s="32">
        <f>AsReported!I25</f>
        <v>3.5369999999999999</v>
      </c>
      <c r="J24" s="32">
        <f>J131</f>
        <v>3.5369999999999999</v>
      </c>
      <c r="K24" s="32">
        <f t="shared" ref="K24:N24" si="6">K131</f>
        <v>3.5369999999999999</v>
      </c>
      <c r="L24" s="32">
        <f t="shared" si="6"/>
        <v>3.5369999999999999</v>
      </c>
      <c r="M24" s="32">
        <f t="shared" si="6"/>
        <v>3.5369999999999999</v>
      </c>
      <c r="N24" s="32">
        <f t="shared" si="6"/>
        <v>3.5369999999999999</v>
      </c>
    </row>
    <row r="25" spans="2:15" ht="13" customHeight="1">
      <c r="B25" s="8" t="s">
        <v>86</v>
      </c>
      <c r="C25" s="32"/>
      <c r="D25" s="32"/>
      <c r="E25" s="32"/>
      <c r="F25" s="32">
        <f>AsReported!F26+AsReported!F27</f>
        <v>-22.309999000000001</v>
      </c>
      <c r="G25" s="32">
        <f>AsReported!G26+AsReported!G27</f>
        <v>-24.061001000000001</v>
      </c>
      <c r="H25" s="32">
        <f>AsReported!H26+AsReported!H27</f>
        <v>-24.669001000000002</v>
      </c>
      <c r="I25" s="32">
        <f>AsReported!I26+AsReported!I27</f>
        <v>-30.753</v>
      </c>
      <c r="J25" s="32">
        <f>+J50*J89</f>
        <v>-28.768424558561524</v>
      </c>
      <c r="K25" s="32">
        <f>+K50*K89</f>
        <v>-29.610833648143746</v>
      </c>
      <c r="L25" s="32">
        <f>+L50*L89</f>
        <v>-32.147743159615032</v>
      </c>
      <c r="M25" s="32">
        <f>+M50*M89</f>
        <v>-32.856010065721556</v>
      </c>
      <c r="N25" s="32">
        <f>+N50*N89</f>
        <v>-33.56279887359441</v>
      </c>
    </row>
    <row r="26" spans="2:15" ht="13" customHeight="1">
      <c r="B26" s="8" t="s">
        <v>28</v>
      </c>
      <c r="C26" s="32"/>
      <c r="D26" s="32"/>
      <c r="E26" s="32"/>
      <c r="F26" s="32">
        <f>AsReported!F28</f>
        <v>0</v>
      </c>
      <c r="G26" s="32">
        <f>AsReported!G28</f>
        <v>0</v>
      </c>
      <c r="H26" s="32">
        <f>AsReported!H28</f>
        <v>0</v>
      </c>
      <c r="I26" s="32">
        <f>AsReported!I28</f>
        <v>0</v>
      </c>
      <c r="J26" s="32">
        <v>0</v>
      </c>
      <c r="K26" s="32">
        <v>0</v>
      </c>
      <c r="L26" s="32">
        <v>0</v>
      </c>
      <c r="M26" s="32">
        <v>0</v>
      </c>
      <c r="N26" s="32">
        <v>0</v>
      </c>
    </row>
    <row r="27" spans="2:15" ht="13" customHeight="1">
      <c r="B27" s="8" t="s">
        <v>87</v>
      </c>
      <c r="C27" s="32"/>
      <c r="D27" s="32"/>
      <c r="E27" s="32"/>
      <c r="F27" s="32">
        <f>AsReported!F29</f>
        <v>0</v>
      </c>
      <c r="G27" s="32">
        <f>AsReported!G29</f>
        <v>0</v>
      </c>
      <c r="H27" s="32">
        <f>AsReported!H29</f>
        <v>0</v>
      </c>
      <c r="I27" s="32">
        <f>AsReported!I29</f>
        <v>0</v>
      </c>
      <c r="J27" s="32">
        <v>0</v>
      </c>
      <c r="K27" s="32">
        <v>0</v>
      </c>
      <c r="L27" s="32">
        <v>0</v>
      </c>
      <c r="M27" s="32">
        <v>0</v>
      </c>
      <c r="N27" s="32">
        <v>0</v>
      </c>
    </row>
    <row r="28" spans="2:15" ht="13" customHeight="1">
      <c r="B28" s="12" t="s">
        <v>88</v>
      </c>
      <c r="C28" s="33"/>
      <c r="D28" s="33"/>
      <c r="E28" s="33"/>
      <c r="F28" s="33">
        <f>+F21+SUM(F24:F27)</f>
        <v>470.72695899999991</v>
      </c>
      <c r="G28" s="33">
        <f>+G21+SUM(G24:G27)</f>
        <v>345.51905199999987</v>
      </c>
      <c r="H28" s="33">
        <f>+H21+SUM(H24:H27)</f>
        <v>557.61204500000008</v>
      </c>
      <c r="I28" s="33">
        <f>+I21+SUM(I24:I27)</f>
        <v>747.33087600000022</v>
      </c>
      <c r="J28" s="33">
        <f t="shared" ref="J28:N28" si="7">+J21+SUM(J24:J27)</f>
        <v>968.87495449365827</v>
      </c>
      <c r="K28" s="33">
        <f t="shared" si="7"/>
        <v>1009.9554503543981</v>
      </c>
      <c r="L28" s="33">
        <f t="shared" si="7"/>
        <v>1016.5312474946398</v>
      </c>
      <c r="M28" s="33">
        <f t="shared" si="7"/>
        <v>1156.0137103190075</v>
      </c>
      <c r="N28" s="33">
        <f t="shared" si="7"/>
        <v>1200.7507458035846</v>
      </c>
    </row>
    <row r="29" spans="2:15" ht="5" customHeight="1">
      <c r="C29" s="32"/>
      <c r="D29" s="32"/>
      <c r="E29" s="32"/>
      <c r="F29" s="32"/>
      <c r="G29" s="32"/>
      <c r="H29" s="32"/>
      <c r="I29" s="32"/>
      <c r="J29" s="32"/>
      <c r="K29" s="32"/>
      <c r="L29" s="32"/>
      <c r="M29" s="32"/>
      <c r="N29" s="32"/>
    </row>
    <row r="30" spans="2:15" ht="13" customHeight="1">
      <c r="B30" s="8" t="s">
        <v>89</v>
      </c>
      <c r="C30" s="32"/>
      <c r="D30" s="32"/>
      <c r="E30" s="32"/>
      <c r="F30" s="32">
        <f>AsReported!F32</f>
        <v>-112.031998</v>
      </c>
      <c r="G30" s="32">
        <f>AsReported!G32</f>
        <v>-45.152999999999999</v>
      </c>
      <c r="H30" s="32">
        <f>AsReported!H32</f>
        <v>-164.05900600000001</v>
      </c>
      <c r="I30" s="32">
        <f>AsReported!I32</f>
        <v>-140.625</v>
      </c>
      <c r="J30" s="32">
        <f>-J28*J47+J21*J48</f>
        <v>-193.75984029544139</v>
      </c>
      <c r="K30" s="32">
        <f>-K28*K47+K21*K48</f>
        <v>-201.98416600895638</v>
      </c>
      <c r="L30" s="32">
        <f>-L28*L47+L21*L48</f>
        <v>-203.20696176319763</v>
      </c>
      <c r="M30" s="32">
        <f>-M28*M47+M21*M48</f>
        <v>-231.21531438155736</v>
      </c>
      <c r="N30" s="32">
        <f>-N28*N47+N21*N48</f>
        <v>-240.17989375045033</v>
      </c>
      <c r="O30" s="255"/>
    </row>
    <row r="31" spans="2:15" ht="13" customHeight="1">
      <c r="B31" s="186" t="s">
        <v>90</v>
      </c>
      <c r="C31" s="299"/>
      <c r="D31" s="299"/>
      <c r="E31" s="299"/>
      <c r="F31" s="299">
        <f>+F28+F30</f>
        <v>358.69496099999992</v>
      </c>
      <c r="G31" s="299">
        <f>+G28+G30</f>
        <v>300.36605199999985</v>
      </c>
      <c r="H31" s="299">
        <f>+H28+H30</f>
        <v>393.55303900000007</v>
      </c>
      <c r="I31" s="299">
        <f>+I28+I30</f>
        <v>606.70587600000022</v>
      </c>
      <c r="J31" s="299">
        <f t="shared" ref="J31:N31" si="8">+J28+J30</f>
        <v>775.11511419821682</v>
      </c>
      <c r="K31" s="299">
        <f t="shared" si="8"/>
        <v>807.97128434544175</v>
      </c>
      <c r="L31" s="299">
        <f t="shared" si="8"/>
        <v>813.32428573144216</v>
      </c>
      <c r="M31" s="299">
        <f t="shared" si="8"/>
        <v>924.7983959374501</v>
      </c>
      <c r="N31" s="299">
        <f t="shared" si="8"/>
        <v>960.57085205313422</v>
      </c>
    </row>
    <row r="32" spans="2:15" ht="13" customHeight="1">
      <c r="B32" s="13" t="s">
        <v>81</v>
      </c>
      <c r="C32" s="35"/>
      <c r="D32" s="35"/>
      <c r="E32" s="35"/>
      <c r="F32" s="35">
        <f>+F31/F$10</f>
        <v>0.22036866999635193</v>
      </c>
      <c r="G32" s="35">
        <f>+G31/G$10</f>
        <v>0.2085282998824351</v>
      </c>
      <c r="H32" s="35">
        <f>+H31/H$10</f>
        <v>0.19234272849741502</v>
      </c>
      <c r="I32" s="35">
        <f>+I31/I$10</f>
        <v>0.23308933567709705</v>
      </c>
      <c r="J32" s="35">
        <f t="shared" ref="J32:N32" si="9">+J31/J$10</f>
        <v>0.24067876809237621</v>
      </c>
      <c r="K32" s="35">
        <f t="shared" si="9"/>
        <v>0.22461401726569408</v>
      </c>
      <c r="L32" s="35">
        <f t="shared" si="9"/>
        <v>0.20750100314572889</v>
      </c>
      <c r="M32" s="35">
        <f t="shared" si="9"/>
        <v>0.22114114656681544</v>
      </c>
      <c r="N32" s="35">
        <f t="shared" si="9"/>
        <v>0.21616412043596844</v>
      </c>
    </row>
    <row r="33" spans="2:14" ht="5" customHeight="1">
      <c r="C33" s="32"/>
      <c r="D33" s="32"/>
      <c r="E33" s="32"/>
      <c r="F33" s="32"/>
      <c r="G33" s="32"/>
      <c r="H33" s="32"/>
      <c r="I33" s="32"/>
      <c r="J33" s="32"/>
      <c r="K33" s="32"/>
      <c r="L33" s="32"/>
      <c r="M33" s="32"/>
      <c r="N33" s="32"/>
    </row>
    <row r="34" spans="2:14" ht="13" customHeight="1">
      <c r="B34" s="8" t="s">
        <v>91</v>
      </c>
      <c r="C34" s="32"/>
      <c r="D34" s="32"/>
      <c r="E34" s="32"/>
      <c r="F34" s="32">
        <v>100.85</v>
      </c>
      <c r="G34" s="32">
        <v>0</v>
      </c>
      <c r="H34" s="32">
        <v>120.68</v>
      </c>
      <c r="I34" s="32">
        <v>160.96</v>
      </c>
      <c r="J34" s="32">
        <f>+J49*J31</f>
        <v>232.53453425946503</v>
      </c>
      <c r="K34" s="32">
        <f>+K49*K31</f>
        <v>242.39138530363252</v>
      </c>
      <c r="L34" s="32">
        <f>+L49*L31</f>
        <v>243.99728571943263</v>
      </c>
      <c r="M34" s="32">
        <f>+M49*M31</f>
        <v>277.43951878123499</v>
      </c>
      <c r="N34" s="32">
        <f>+N49*N31</f>
        <v>288.17125561594025</v>
      </c>
    </row>
    <row r="35" spans="2:14" ht="13" customHeight="1">
      <c r="B35" s="8" t="s">
        <v>92</v>
      </c>
      <c r="C35" s="32"/>
      <c r="D35" s="32"/>
      <c r="E35" s="32"/>
      <c r="F35" s="32">
        <v>15.1</v>
      </c>
      <c r="G35" s="32">
        <v>0</v>
      </c>
      <c r="H35" s="32">
        <v>0</v>
      </c>
      <c r="I35" s="32">
        <v>48.35</v>
      </c>
      <c r="J35" s="32">
        <v>0</v>
      </c>
      <c r="K35" s="32">
        <v>0</v>
      </c>
      <c r="L35" s="32">
        <v>0</v>
      </c>
      <c r="M35" s="32">
        <v>0</v>
      </c>
      <c r="N35" s="32">
        <v>0</v>
      </c>
    </row>
    <row r="36" spans="2:14" ht="13" customHeight="1">
      <c r="B36" s="8" t="s">
        <v>93</v>
      </c>
      <c r="C36" s="132"/>
      <c r="D36" s="132"/>
      <c r="E36" s="132"/>
      <c r="F36" s="132">
        <f>+F31-F34-F35</f>
        <v>242.7449609999999</v>
      </c>
      <c r="G36" s="132">
        <f t="shared" ref="G36:N36" si="10">+G31-G34-G35</f>
        <v>300.36605199999985</v>
      </c>
      <c r="H36" s="132">
        <f t="shared" si="10"/>
        <v>272.87303900000006</v>
      </c>
      <c r="I36" s="407">
        <f t="shared" si="10"/>
        <v>397.39587600000016</v>
      </c>
      <c r="J36" s="132">
        <f t="shared" si="10"/>
        <v>542.58057993875173</v>
      </c>
      <c r="K36" s="132">
        <f t="shared" si="10"/>
        <v>565.5798990418092</v>
      </c>
      <c r="L36" s="132">
        <f t="shared" si="10"/>
        <v>569.32700001200953</v>
      </c>
      <c r="M36" s="132">
        <f t="shared" si="10"/>
        <v>647.35887715621516</v>
      </c>
      <c r="N36" s="132">
        <f t="shared" si="10"/>
        <v>672.39959643719396</v>
      </c>
    </row>
    <row r="37" spans="2:14" ht="13" customHeight="1">
      <c r="C37" s="32"/>
      <c r="D37" s="32"/>
      <c r="E37" s="32"/>
      <c r="F37" s="32"/>
      <c r="G37" s="32"/>
      <c r="H37" s="32"/>
      <c r="I37" s="32"/>
      <c r="J37" s="32"/>
      <c r="K37" s="32"/>
      <c r="L37" s="32"/>
      <c r="M37" s="32"/>
      <c r="N37" s="32"/>
    </row>
    <row r="38" spans="2:14" ht="13" customHeight="1">
      <c r="B38" s="487" t="s">
        <v>94</v>
      </c>
      <c r="C38" s="487"/>
      <c r="D38" s="487"/>
      <c r="E38" s="487"/>
      <c r="F38" s="487"/>
      <c r="G38" s="487"/>
      <c r="H38" s="487"/>
      <c r="I38" s="487"/>
      <c r="J38" s="487"/>
      <c r="K38" s="487"/>
      <c r="L38" s="487"/>
      <c r="M38" s="487"/>
      <c r="N38" s="487"/>
    </row>
    <row r="39" spans="2:14" ht="5.25" customHeight="1">
      <c r="B39" s="256"/>
      <c r="C39" s="256"/>
      <c r="D39" s="256"/>
      <c r="E39" s="256"/>
      <c r="F39" s="256"/>
      <c r="G39" s="256"/>
      <c r="H39" s="256"/>
      <c r="I39" s="256"/>
      <c r="J39" s="256"/>
      <c r="K39" s="256"/>
      <c r="L39" s="256"/>
      <c r="M39" s="256"/>
      <c r="N39" s="256"/>
    </row>
    <row r="40" spans="2:14" ht="13" customHeight="1">
      <c r="B40" s="100" t="s">
        <v>95</v>
      </c>
      <c r="C40" s="32"/>
      <c r="D40" s="32"/>
      <c r="E40" s="32"/>
      <c r="F40" s="432">
        <f t="shared" ref="F40:I42" si="11">F13/F$10</f>
        <v>-0.11752997686810963</v>
      </c>
      <c r="G40" s="432">
        <f t="shared" si="11"/>
        <v>-0.10400170227199446</v>
      </c>
      <c r="H40" s="432">
        <f t="shared" si="11"/>
        <v>-0.11371714323747981</v>
      </c>
      <c r="I40" s="433">
        <f t="shared" si="11"/>
        <v>-0.13451855875334179</v>
      </c>
      <c r="J40" s="434">
        <v>-0.11</v>
      </c>
      <c r="K40" s="434">
        <v>-0.11</v>
      </c>
      <c r="L40" s="434">
        <v>-0.11</v>
      </c>
      <c r="M40" s="434">
        <v>-0.11</v>
      </c>
      <c r="N40" s="434">
        <v>-0.11</v>
      </c>
    </row>
    <row r="41" spans="2:14" ht="13" customHeight="1">
      <c r="B41" s="100" t="s">
        <v>96</v>
      </c>
      <c r="C41" s="32"/>
      <c r="D41" s="32"/>
      <c r="E41" s="32"/>
      <c r="F41" s="432">
        <f t="shared" si="11"/>
        <v>-6.9516325732346201E-2</v>
      </c>
      <c r="G41" s="432">
        <f t="shared" si="11"/>
        <v>-5.816820057792222E-2</v>
      </c>
      <c r="H41" s="432">
        <f t="shared" si="11"/>
        <v>-6.9440296566258872E-2</v>
      </c>
      <c r="I41" s="433">
        <f t="shared" si="11"/>
        <v>-6.6055811835295325E-2</v>
      </c>
      <c r="J41" s="434">
        <v>-7.0000000000000007E-2</v>
      </c>
      <c r="K41" s="434">
        <v>-7.0000000000000007E-2</v>
      </c>
      <c r="L41" s="434">
        <v>-7.0000000000000007E-2</v>
      </c>
      <c r="M41" s="434">
        <v>-7.0000000000000007E-2</v>
      </c>
      <c r="N41" s="434">
        <v>-7.0000000000000007E-2</v>
      </c>
    </row>
    <row r="42" spans="2:14" ht="13" customHeight="1">
      <c r="B42" s="100" t="s">
        <v>97</v>
      </c>
      <c r="C42" s="32"/>
      <c r="D42" s="32"/>
      <c r="E42" s="32"/>
      <c r="F42" s="432">
        <f t="shared" si="11"/>
        <v>-0.40568126546307354</v>
      </c>
      <c r="G42" s="432">
        <f t="shared" si="11"/>
        <v>-0.44225423636568106</v>
      </c>
      <c r="H42" s="432">
        <f t="shared" si="11"/>
        <v>-0.41327537169026429</v>
      </c>
      <c r="I42" s="433">
        <f t="shared" si="11"/>
        <v>-0.40007839663158584</v>
      </c>
      <c r="J42" s="434">
        <v>-0.41</v>
      </c>
      <c r="K42" s="434">
        <v>-0.41</v>
      </c>
      <c r="L42" s="434">
        <v>-0.41</v>
      </c>
      <c r="M42" s="434">
        <v>-0.41</v>
      </c>
      <c r="N42" s="434">
        <v>-0.41</v>
      </c>
    </row>
    <row r="43" spans="2:14" ht="13" customHeight="1">
      <c r="B43" s="100" t="s">
        <v>98</v>
      </c>
      <c r="C43" s="32"/>
      <c r="D43" s="32"/>
      <c r="E43" s="32"/>
      <c r="F43" s="432">
        <f t="shared" ref="F43:I44" si="12">F19/F$10</f>
        <v>-9.6780496965290036E-2</v>
      </c>
      <c r="G43" s="432">
        <f t="shared" si="12"/>
        <v>-0.12864401190123592</v>
      </c>
      <c r="H43" s="432">
        <f t="shared" si="12"/>
        <v>-0.10179350563074065</v>
      </c>
      <c r="I43" s="433">
        <f t="shared" si="12"/>
        <v>-9.3261724459736878E-2</v>
      </c>
      <c r="J43" s="434">
        <v>-0.1</v>
      </c>
      <c r="K43" s="434">
        <v>-0.1</v>
      </c>
      <c r="L43" s="434">
        <v>-0.1</v>
      </c>
      <c r="M43" s="434">
        <v>-0.1</v>
      </c>
      <c r="N43" s="434">
        <v>-0.1</v>
      </c>
    </row>
    <row r="44" spans="2:14" ht="13" customHeight="1">
      <c r="B44" s="100" t="s">
        <v>99</v>
      </c>
      <c r="C44" s="32"/>
      <c r="D44" s="32"/>
      <c r="E44" s="32"/>
      <c r="F44" s="432">
        <f t="shared" si="12"/>
        <v>-8.3491839888166792E-3</v>
      </c>
      <c r="G44" s="432">
        <f t="shared" si="12"/>
        <v>-1.0878854109510883E-2</v>
      </c>
      <c r="H44" s="432">
        <f t="shared" si="12"/>
        <v>-1.8689185977143856E-2</v>
      </c>
      <c r="I44" s="433">
        <f t="shared" si="12"/>
        <v>-8.5136140639660938E-3</v>
      </c>
      <c r="J44" s="434">
        <v>-0.01</v>
      </c>
      <c r="K44" s="434">
        <v>-0.01</v>
      </c>
      <c r="L44" s="434">
        <v>-0.01</v>
      </c>
      <c r="M44" s="434">
        <v>-0.01</v>
      </c>
      <c r="N44" s="434">
        <v>-0.01</v>
      </c>
    </row>
    <row r="45" spans="2:14" ht="13" customHeight="1">
      <c r="B45" s="100" t="s">
        <v>100</v>
      </c>
      <c r="C45" s="32"/>
      <c r="D45" s="32"/>
      <c r="E45" s="32"/>
      <c r="F45" s="432">
        <f>F30/F28</f>
        <v>-0.23799783687341353</v>
      </c>
      <c r="G45" s="432">
        <f>G30/G28</f>
        <v>-0.130681650515758</v>
      </c>
      <c r="H45" s="432">
        <f>H30/H28</f>
        <v>-0.294217112903291</v>
      </c>
      <c r="I45" s="433">
        <f>I30/I28</f>
        <v>-0.18816966422246412</v>
      </c>
      <c r="J45" s="433">
        <f t="shared" ref="J45:M45" si="13">J30/J28</f>
        <v>-0.19998436268455491</v>
      </c>
      <c r="K45" s="433">
        <f t="shared" si="13"/>
        <v>-0.19999314419074543</v>
      </c>
      <c r="L45" s="433">
        <f t="shared" si="13"/>
        <v>-0.19990232692209409</v>
      </c>
      <c r="M45" s="433">
        <f t="shared" si="13"/>
        <v>-0.2000108755784154</v>
      </c>
      <c r="N45" s="433">
        <f>N30/N28</f>
        <v>-0.20002477166042776</v>
      </c>
    </row>
    <row r="46" spans="2:14" ht="13" customHeight="1">
      <c r="B46" s="100" t="s">
        <v>101</v>
      </c>
      <c r="C46" s="32"/>
      <c r="D46" s="32"/>
      <c r="E46" s="32"/>
      <c r="F46" s="432">
        <v>0.22</v>
      </c>
      <c r="G46" s="432">
        <v>0.22</v>
      </c>
      <c r="H46" s="432">
        <v>0.22</v>
      </c>
      <c r="I46" s="433">
        <v>0.22</v>
      </c>
      <c r="J46" s="434">
        <v>0.22</v>
      </c>
      <c r="K46" s="434">
        <v>0.22</v>
      </c>
      <c r="L46" s="434">
        <v>0.22</v>
      </c>
      <c r="M46" s="434">
        <v>0.22</v>
      </c>
      <c r="N46" s="434">
        <v>0.22</v>
      </c>
    </row>
    <row r="47" spans="2:14" ht="13" customHeight="1">
      <c r="B47" s="100" t="s">
        <v>102</v>
      </c>
      <c r="C47" s="32"/>
      <c r="D47" s="32"/>
      <c r="E47" s="32"/>
      <c r="F47" s="434">
        <v>0.24</v>
      </c>
      <c r="G47" s="434">
        <v>0.24</v>
      </c>
      <c r="H47" s="434">
        <v>0.24</v>
      </c>
      <c r="I47" s="434">
        <v>0.24</v>
      </c>
      <c r="J47" s="434">
        <v>0.24</v>
      </c>
      <c r="K47" s="434">
        <v>0.24</v>
      </c>
      <c r="L47" s="434">
        <v>0.24</v>
      </c>
      <c r="M47" s="434">
        <v>0.24</v>
      </c>
      <c r="N47" s="434">
        <v>0.24</v>
      </c>
    </row>
    <row r="48" spans="2:14" ht="13" customHeight="1">
      <c r="B48" s="100" t="s">
        <v>103</v>
      </c>
      <c r="C48" s="32"/>
      <c r="D48" s="32"/>
      <c r="E48" s="32"/>
      <c r="F48" s="434">
        <v>3.9E-2</v>
      </c>
      <c r="G48" s="434">
        <v>3.9E-2</v>
      </c>
      <c r="H48" s="434">
        <v>3.9E-2</v>
      </c>
      <c r="I48" s="434">
        <v>3.9E-2</v>
      </c>
      <c r="J48" s="434">
        <v>3.9E-2</v>
      </c>
      <c r="K48" s="434">
        <v>3.9E-2</v>
      </c>
      <c r="L48" s="434">
        <v>3.9E-2</v>
      </c>
      <c r="M48" s="434">
        <v>3.9E-2</v>
      </c>
      <c r="N48" s="434">
        <v>3.9E-2</v>
      </c>
    </row>
    <row r="49" spans="2:14" ht="13" customHeight="1">
      <c r="B49" s="100" t="s">
        <v>104</v>
      </c>
      <c r="C49" s="32"/>
      <c r="D49" s="32"/>
      <c r="E49" s="32"/>
      <c r="F49" s="432">
        <f>+F34/F31</f>
        <v>0.28115811752370845</v>
      </c>
      <c r="G49" s="432">
        <f>+G34/G31</f>
        <v>0</v>
      </c>
      <c r="H49" s="432">
        <f>+H34/H31</f>
        <v>0.30664227700195701</v>
      </c>
      <c r="I49" s="433">
        <f>+I34/I31</f>
        <v>0.26530153467641698</v>
      </c>
      <c r="J49" s="434">
        <v>0.3</v>
      </c>
      <c r="K49" s="434">
        <v>0.3</v>
      </c>
      <c r="L49" s="434">
        <v>0.3</v>
      </c>
      <c r="M49" s="434">
        <v>0.3</v>
      </c>
      <c r="N49" s="434">
        <v>0.3</v>
      </c>
    </row>
    <row r="50" spans="2:14" ht="13" customHeight="1">
      <c r="B50" s="100" t="s">
        <v>105</v>
      </c>
      <c r="C50" s="32"/>
      <c r="D50" s="32"/>
      <c r="E50" s="32"/>
      <c r="F50" s="432">
        <f>F25/F89</f>
        <v>-3.0189402705374124E-2</v>
      </c>
      <c r="G50" s="432">
        <f>G25/G89</f>
        <v>-3.3726797766013041E-2</v>
      </c>
      <c r="H50" s="432">
        <f>H25/H89</f>
        <v>-2.6987614803270072E-2</v>
      </c>
      <c r="I50" s="433">
        <f>I25/I89</f>
        <v>-3.3687298775748484E-2</v>
      </c>
      <c r="J50" s="434">
        <v>-0.03</v>
      </c>
      <c r="K50" s="434">
        <v>-0.03</v>
      </c>
      <c r="L50" s="434">
        <v>-0.03</v>
      </c>
      <c r="M50" s="434">
        <v>-0.03</v>
      </c>
      <c r="N50" s="434">
        <v>-0.03</v>
      </c>
    </row>
    <row r="51" spans="2:14" ht="13" customHeight="1">
      <c r="B51" s="100" t="s">
        <v>106</v>
      </c>
      <c r="C51" s="32"/>
      <c r="D51" s="32"/>
      <c r="E51" s="32"/>
      <c r="F51" s="432">
        <f>F24/AsReported!F55</f>
        <v>4.8257149072403053E-4</v>
      </c>
      <c r="G51" s="432">
        <f>G24/AsReported!G55</f>
        <v>2.753379871557274E-4</v>
      </c>
      <c r="H51" s="432">
        <f>H24/AsReported!H55</f>
        <v>7.171995991554804E-4</v>
      </c>
      <c r="I51" s="433">
        <f>I24/AsReported!I55</f>
        <v>7.6239751624158415E-4</v>
      </c>
      <c r="J51" s="433">
        <f>$I$51</f>
        <v>7.6239751624158415E-4</v>
      </c>
      <c r="K51" s="433">
        <f t="shared" ref="K51:N51" si="14">$I$51</f>
        <v>7.6239751624158415E-4</v>
      </c>
      <c r="L51" s="433">
        <f t="shared" si="14"/>
        <v>7.6239751624158415E-4</v>
      </c>
      <c r="M51" s="433">
        <f t="shared" si="14"/>
        <v>7.6239751624158415E-4</v>
      </c>
      <c r="N51" s="433">
        <f t="shared" si="14"/>
        <v>7.6239751624158415E-4</v>
      </c>
    </row>
    <row r="52" spans="2:14" ht="13" customHeight="1">
      <c r="C52" s="32"/>
      <c r="D52" s="32"/>
      <c r="E52" s="32"/>
      <c r="F52" s="403"/>
      <c r="G52" s="403"/>
      <c r="H52" s="403"/>
      <c r="I52" s="404"/>
      <c r="J52" s="404"/>
      <c r="K52" s="404"/>
      <c r="L52" s="404"/>
      <c r="M52" s="404"/>
      <c r="N52" s="404"/>
    </row>
    <row r="53" spans="2:14" ht="13" customHeight="1">
      <c r="B53" s="412" t="s">
        <v>107</v>
      </c>
      <c r="C53" s="413"/>
      <c r="D53" s="413"/>
      <c r="E53" s="413"/>
      <c r="F53" s="414"/>
      <c r="G53" s="414"/>
      <c r="H53" s="414"/>
      <c r="I53" s="414"/>
      <c r="J53" s="414"/>
      <c r="K53" s="414"/>
      <c r="L53" s="414"/>
      <c r="M53" s="414"/>
      <c r="N53" s="414"/>
    </row>
    <row r="54" spans="2:14" ht="13" customHeight="1">
      <c r="B54" s="6" t="s">
        <v>108</v>
      </c>
      <c r="C54" s="133"/>
      <c r="D54" s="133"/>
      <c r="E54" s="133"/>
      <c r="F54" s="218"/>
      <c r="G54" s="410">
        <f>1/(-G19/F73)</f>
        <v>4.3526172584997296</v>
      </c>
      <c r="H54" s="410">
        <f>1/(-H19/G73)</f>
        <v>3.8553245630881499</v>
      </c>
      <c r="I54" s="410">
        <f>1/(-I19/H73)</f>
        <v>3.7623976148300722</v>
      </c>
      <c r="J54" s="410">
        <f>I54</f>
        <v>3.7623976148300722</v>
      </c>
      <c r="K54" s="410">
        <f t="shared" ref="K54:N54" si="15">J54</f>
        <v>3.7623976148300722</v>
      </c>
      <c r="L54" s="410">
        <f t="shared" si="15"/>
        <v>3.7623976148300722</v>
      </c>
      <c r="M54" s="410">
        <f t="shared" si="15"/>
        <v>3.7623976148300722</v>
      </c>
      <c r="N54" s="410">
        <f t="shared" si="15"/>
        <v>3.7623976148300722</v>
      </c>
    </row>
    <row r="55" spans="2:14" ht="13" customHeight="1">
      <c r="B55" s="222" t="s">
        <v>109</v>
      </c>
      <c r="C55" s="222">
        <v>2022</v>
      </c>
      <c r="D55" s="408">
        <f>F73</f>
        <v>806.53997800000002</v>
      </c>
      <c r="E55" s="223" t="s">
        <v>110</v>
      </c>
      <c r="F55" s="222" t="s">
        <v>110</v>
      </c>
      <c r="G55" s="222" t="s">
        <v>110</v>
      </c>
      <c r="H55" s="222" t="s">
        <v>110</v>
      </c>
      <c r="I55" s="223" t="s">
        <v>110</v>
      </c>
      <c r="J55" s="19">
        <f>MIN(($D55-SUM($I$55:I55)),-$I19)</f>
        <v>242.75</v>
      </c>
      <c r="K55" s="19">
        <f>MIN(($D55-SUM($I$55:J55)),-$I19)</f>
        <v>242.75</v>
      </c>
      <c r="L55" s="19">
        <f>MIN(($D55-SUM($I$55:K55)),-$I19)</f>
        <v>242.75</v>
      </c>
      <c r="M55" s="19">
        <f>MIN(($D55-SUM($I$55:L55)),-$I19)</f>
        <v>78.289978000000019</v>
      </c>
      <c r="N55" s="19">
        <f>MIN(($D55-SUM($I$55:M55)),-$I19)</f>
        <v>0</v>
      </c>
    </row>
    <row r="56" spans="2:14" ht="13" customHeight="1">
      <c r="B56" s="222" t="s">
        <v>111</v>
      </c>
      <c r="C56" s="222">
        <v>2023</v>
      </c>
      <c r="D56" s="227">
        <f>-J126</f>
        <v>386.46455788773977</v>
      </c>
      <c r="E56" s="222" t="s">
        <v>110</v>
      </c>
      <c r="F56" s="222" t="s">
        <v>110</v>
      </c>
      <c r="G56" s="222" t="s">
        <v>110</v>
      </c>
      <c r="H56" s="222" t="s">
        <v>110</v>
      </c>
      <c r="I56" s="222" t="s">
        <v>110</v>
      </c>
      <c r="J56" s="19">
        <f>MIN($D56+SUM($I$56:I56),$D56/J$54*(J$5&gt;=$C56)*(IF(J$5=$C56,0.5,1)))</f>
        <v>51.358813906912701</v>
      </c>
      <c r="K56" s="19">
        <f>MIN($D56+SUM($I$56:J56),$D56/K$54*(K$5&gt;=$C56)*(IF(K$5=$C56,0.5,1)))</f>
        <v>102.7176278138254</v>
      </c>
      <c r="L56" s="19">
        <f>MIN($D56+SUM($I$56:K56),$D56/L$54*(L$5&gt;=$C56)*(IF(L$5=$C56,0.5,1)))</f>
        <v>102.7176278138254</v>
      </c>
      <c r="M56" s="19">
        <f>MIN($D56+SUM($I$56:L56),$D56/M$54*(M$5&gt;=$C56)*(IF(M$5=$C56,0.5,1)))</f>
        <v>102.7176278138254</v>
      </c>
      <c r="N56" s="19">
        <f>MIN($D56+SUM($I$56:M56),$D56/N$54*(N$5&gt;=$C56)*(IF(N$5=$C56,0.5,1)))</f>
        <v>102.7176278138254</v>
      </c>
    </row>
    <row r="57" spans="2:14" ht="13" customHeight="1">
      <c r="B57" s="222" t="s">
        <v>112</v>
      </c>
      <c r="C57" s="222">
        <v>2024</v>
      </c>
      <c r="D57" s="227">
        <f>-K126</f>
        <v>431.65851936463918</v>
      </c>
      <c r="E57" s="222" t="s">
        <v>110</v>
      </c>
      <c r="F57" s="222" t="s">
        <v>110</v>
      </c>
      <c r="G57" s="222" t="s">
        <v>110</v>
      </c>
      <c r="H57" s="222" t="s">
        <v>110</v>
      </c>
      <c r="I57" s="222" t="s">
        <v>110</v>
      </c>
      <c r="J57" s="411">
        <f>MIN($D57+SUM($I$56:I57),$D57/J$54*(J$5&gt;=$C57)*(IF(J$5=$C57,0.5,1)))</f>
        <v>0</v>
      </c>
      <c r="K57" s="19">
        <f>MIN($D57+SUM($I$56:J57),$D57/K$54*(K$5&gt;=$C57)*(IF(K$5=$C57,0.5,1)))</f>
        <v>57.364819399096781</v>
      </c>
      <c r="L57" s="19">
        <f>MIN($D57+SUM($I$56:K57),$D57/L$54*(L$5&gt;=$C57)*(IF(L$5=$C57,0.5,1)))</f>
        <v>114.72963879819356</v>
      </c>
      <c r="M57" s="19">
        <f>MIN($D57+SUM($I$56:L57),$D57/M$54*(M$5&gt;=$C57)*(IF(M$5=$C57,0.5,1)))</f>
        <v>114.72963879819356</v>
      </c>
      <c r="N57" s="19">
        <f>MIN($D57+SUM($I$56:M57),$D57/N$54*(N$5&gt;=$C57)*(IF(N$5=$C57,0.5,1)))</f>
        <v>114.72963879819356</v>
      </c>
    </row>
    <row r="58" spans="2:14" ht="13" customHeight="1">
      <c r="B58" s="222" t="s">
        <v>113</v>
      </c>
      <c r="C58" s="222">
        <v>2025</v>
      </c>
      <c r="D58" s="227">
        <f>-L126</f>
        <v>470.35393953844596</v>
      </c>
      <c r="E58" s="222" t="s">
        <v>110</v>
      </c>
      <c r="F58" s="222" t="s">
        <v>110</v>
      </c>
      <c r="G58" s="222" t="s">
        <v>110</v>
      </c>
      <c r="H58" s="222" t="s">
        <v>110</v>
      </c>
      <c r="I58" s="222" t="s">
        <v>110</v>
      </c>
      <c r="J58" s="411">
        <f>MIN($D58+SUM($I$56:I58),$D58/J$54*(J$5&gt;=$C58)*(IF(J$5=$C58,0.5,1)))</f>
        <v>0</v>
      </c>
      <c r="K58" s="411">
        <f>MIN($D58+SUM($I$56:J58),$D58/K$54*(K$5&gt;=$C58)*(IF(K$5=$C58,0.5,1)))</f>
        <v>0</v>
      </c>
      <c r="L58" s="19">
        <f>MIN($D58+SUM($I$56:K58),$D58/L$54*(L$5&gt;=$C58)*(IF(L$5=$C58,0.5,1)))</f>
        <v>62.5072078618795</v>
      </c>
      <c r="M58" s="19">
        <f>MIN($D58+SUM($I$56:L58),$D58/M$54*(M$5&gt;=$C58)*(IF(M$5=$C58,0.5,1)))</f>
        <v>125.014415723759</v>
      </c>
      <c r="N58" s="19">
        <f>MIN($D58+SUM($I$56:M58),$D58/N$54*(N$5&gt;=$C58)*(IF(N$5=$C58,0.5,1)))</f>
        <v>125.014415723759</v>
      </c>
    </row>
    <row r="59" spans="2:14" ht="13" customHeight="1">
      <c r="B59" s="222" t="s">
        <v>114</v>
      </c>
      <c r="C59" s="222">
        <v>2026</v>
      </c>
      <c r="D59" s="227">
        <f>-M126</f>
        <v>501.83246869873602</v>
      </c>
      <c r="E59" s="222" t="s">
        <v>110</v>
      </c>
      <c r="F59" s="222" t="s">
        <v>110</v>
      </c>
      <c r="G59" s="222" t="s">
        <v>110</v>
      </c>
      <c r="H59" s="222" t="s">
        <v>110</v>
      </c>
      <c r="I59" s="222" t="s">
        <v>110</v>
      </c>
      <c r="J59" s="411">
        <f>MIN($D59+SUM($I$56:I59),$D59/J$54*(J$5&gt;=$C59)*(IF(J$5=$C59,0.5,1)))</f>
        <v>0</v>
      </c>
      <c r="K59" s="411">
        <f>MIN($D59+SUM($I$56:J59),$D59/K$54*(K$5&gt;=$C59)*(IF(K$5=$C59,0.5,1)))</f>
        <v>0</v>
      </c>
      <c r="L59" s="411">
        <f>MIN($D59+SUM($I$56:K59),$D59/L$54*(L$5&gt;=$C59)*(IF(L$5=$C59,0.5,1)))</f>
        <v>0</v>
      </c>
      <c r="M59" s="19">
        <f>MIN($D59+SUM($I$56:L59),$D59/M$54*(M$5&gt;=$C59)*(IF(M$5=$C59,0.5,1)))</f>
        <v>66.69051494194629</v>
      </c>
      <c r="N59" s="19">
        <f>MIN($D59+SUM($I$56:M59),$D59/N$54*(N$5&gt;=$C59)*(IF(N$5=$C59,0.5,1)))</f>
        <v>133.38102988389258</v>
      </c>
    </row>
    <row r="60" spans="2:14" ht="13" customHeight="1">
      <c r="B60" s="222" t="s">
        <v>115</v>
      </c>
      <c r="C60" s="222">
        <v>2027</v>
      </c>
      <c r="D60" s="227">
        <f>-N126</f>
        <v>533.24530460419601</v>
      </c>
      <c r="E60" s="222" t="s">
        <v>110</v>
      </c>
      <c r="F60" s="222" t="s">
        <v>110</v>
      </c>
      <c r="G60" s="222" t="s">
        <v>110</v>
      </c>
      <c r="H60" s="222" t="s">
        <v>110</v>
      </c>
      <c r="I60" s="222" t="s">
        <v>110</v>
      </c>
      <c r="J60" s="411">
        <f>MIN($D60+SUM($I$56:I60),$D60/J$54*(J$5&gt;=$C60)*(IF(J$5=$C60,0.5,1)))</f>
        <v>0</v>
      </c>
      <c r="K60" s="411">
        <f>MIN($D60+SUM($I$56:J60),$D60/K$54*(K$5&gt;=$C60)*(IF(K$5=$C60,0.5,1)))</f>
        <v>0</v>
      </c>
      <c r="L60" s="411">
        <f>MIN($D60+SUM($I$56:K60),$D60/L$54*(L$5&gt;=$C60)*(IF(L$5=$C60,0.5,1)))</f>
        <v>0</v>
      </c>
      <c r="M60" s="411">
        <f>MIN($D60+SUM($I$56:L60),$D60/M$54*(M$5&gt;=$C60)*(IF(M$5=$C60,0.5,1)))</f>
        <v>0</v>
      </c>
      <c r="N60" s="19">
        <f>MIN($D60+SUM($I$56:M60),$D60/N$54*(N$5&gt;=$C60)*(IF(N$5=$C60,0.5,1)))</f>
        <v>70.865091783803919</v>
      </c>
    </row>
    <row r="61" spans="2:14" ht="13" customHeight="1">
      <c r="B61" s="224" t="s">
        <v>116</v>
      </c>
      <c r="C61" s="225" t="s">
        <v>110</v>
      </c>
      <c r="D61" s="225" t="s">
        <v>110</v>
      </c>
      <c r="E61" s="225" t="s">
        <v>110</v>
      </c>
      <c r="F61" s="226" t="s">
        <v>110</v>
      </c>
      <c r="G61" s="226" t="s">
        <v>110</v>
      </c>
      <c r="H61" s="226" t="s">
        <v>110</v>
      </c>
      <c r="I61" s="226" t="s">
        <v>110</v>
      </c>
      <c r="J61" s="409">
        <f>SUM(J55:J60)</f>
        <v>294.1088139069127</v>
      </c>
      <c r="K61" s="409">
        <f t="shared" ref="K61:N61" si="16">SUM(K55:K60)</f>
        <v>402.8324472129222</v>
      </c>
      <c r="L61" s="409">
        <f t="shared" si="16"/>
        <v>522.70447447389847</v>
      </c>
      <c r="M61" s="409">
        <f t="shared" si="16"/>
        <v>487.44217527772423</v>
      </c>
      <c r="N61" s="409">
        <f t="shared" si="16"/>
        <v>546.70780400347439</v>
      </c>
    </row>
    <row r="62" spans="2:14" ht="13" customHeight="1">
      <c r="C62" s="19"/>
      <c r="D62" s="19"/>
      <c r="E62" s="19"/>
      <c r="F62" s="19"/>
      <c r="G62" s="19"/>
      <c r="H62" s="19"/>
      <c r="I62" s="19"/>
      <c r="J62" s="19"/>
      <c r="K62" s="19"/>
      <c r="L62" s="19"/>
      <c r="M62" s="19"/>
      <c r="N62" s="19"/>
    </row>
    <row r="63" spans="2:14" ht="13" customHeight="1">
      <c r="B63" s="487" t="s">
        <v>117</v>
      </c>
      <c r="C63" s="488"/>
      <c r="D63" s="488"/>
      <c r="E63" s="488"/>
      <c r="F63" s="488"/>
      <c r="G63" s="488"/>
      <c r="H63" s="488"/>
      <c r="I63" s="488"/>
      <c r="J63" s="488"/>
      <c r="K63" s="488"/>
      <c r="L63" s="488"/>
      <c r="M63" s="488"/>
      <c r="N63" s="488"/>
    </row>
    <row r="64" spans="2:14" ht="5" customHeight="1"/>
    <row r="65" spans="2:16" ht="13" customHeight="1">
      <c r="B65" s="8" t="s">
        <v>118</v>
      </c>
      <c r="C65" s="32"/>
      <c r="D65" s="32"/>
      <c r="E65" s="32"/>
      <c r="F65" s="405">
        <f>+AsReported!F46</f>
        <v>167.919006</v>
      </c>
      <c r="G65" s="32">
        <f>+AsReported!G46</f>
        <v>174.14399700000001</v>
      </c>
      <c r="H65" s="32">
        <f>+AsReported!H46</f>
        <v>234.274002</v>
      </c>
      <c r="I65" s="32">
        <f>+AsReported!I46</f>
        <v>296.54998799999998</v>
      </c>
      <c r="J65" s="32">
        <f>J105/365*J10*(1+J46)</f>
        <v>366.91928559946234</v>
      </c>
      <c r="K65" s="32">
        <f>K105/365*K10*(1+K46)</f>
        <v>409.82758267370656</v>
      </c>
      <c r="L65" s="32">
        <f>L105/365*L10*(1+L46)</f>
        <v>446.56599926679672</v>
      </c>
      <c r="M65" s="32">
        <f>M105/365*M10*(1+M46)</f>
        <v>476.45251588385361</v>
      </c>
      <c r="N65" s="32">
        <f>N105/365*N10*(1+N46)</f>
        <v>506.27666165308244</v>
      </c>
    </row>
    <row r="66" spans="2:16" ht="13" customHeight="1">
      <c r="B66" s="8" t="s">
        <v>62</v>
      </c>
      <c r="C66" s="32"/>
      <c r="D66" s="32"/>
      <c r="E66" s="32"/>
      <c r="F66" s="32">
        <f>-AsReported!F71</f>
        <v>-248.621002</v>
      </c>
      <c r="G66" s="32">
        <f>-AsReported!G71</f>
        <v>-211.90299999999999</v>
      </c>
      <c r="H66" s="32">
        <f>-AsReported!H71</f>
        <v>-348.95300300000002</v>
      </c>
      <c r="I66" s="32">
        <f>-AsReported!I71</f>
        <v>-482.42498799999998</v>
      </c>
      <c r="J66" s="32">
        <f>J107/365*J13*(1+J46)</f>
        <v>-488.10460245736328</v>
      </c>
      <c r="K66" s="32">
        <f>K107/365*K13*(1+K46)</f>
        <v>-545.1845601143425</v>
      </c>
      <c r="L66" s="32">
        <f>L107/365*L13*(1+L46)</f>
        <v>-594.05686236137808</v>
      </c>
      <c r="M66" s="32">
        <f>M107/365*M13*(1+M46)</f>
        <v>-633.8142337635677</v>
      </c>
      <c r="N66" s="32">
        <f>N107/365*N13*(1+N46)</f>
        <v>-673.48863460771133</v>
      </c>
    </row>
    <row r="67" spans="2:16" ht="13" customHeight="1">
      <c r="B67" s="8" t="s">
        <v>119</v>
      </c>
      <c r="C67" s="32"/>
      <c r="D67" s="32"/>
      <c r="E67" s="32"/>
      <c r="F67" s="32">
        <f>+AsReported!F45</f>
        <v>208.86799600000001</v>
      </c>
      <c r="G67" s="32">
        <f>+AsReported!G45</f>
        <v>202.770004</v>
      </c>
      <c r="H67" s="32">
        <f>+AsReported!H45</f>
        <v>263.52099600000003</v>
      </c>
      <c r="I67" s="32">
        <f>+AsReported!I45</f>
        <v>377.54901100000001</v>
      </c>
      <c r="J67" s="32">
        <f>J106/365*J13</f>
        <v>388.22923623425913</v>
      </c>
      <c r="K67" s="32">
        <f>K106/365*K13</f>
        <v>433.62956283205762</v>
      </c>
      <c r="L67" s="32">
        <f>L106/365*L13</f>
        <v>472.50167442218316</v>
      </c>
      <c r="M67" s="32">
        <f>M106/365*M13</f>
        <v>504.12394115854755</v>
      </c>
      <c r="N67" s="32">
        <f>N106/365*N13</f>
        <v>535.68021467088181</v>
      </c>
    </row>
    <row r="68" spans="2:16" ht="13" customHeight="1">
      <c r="B68" s="8" t="s">
        <v>120</v>
      </c>
      <c r="C68" s="32"/>
      <c r="D68" s="32"/>
      <c r="E68" s="32"/>
      <c r="F68" s="32">
        <f>AsReported!F47+AsReported!F48-AsReported!F72-AsReported!F73</f>
        <v>-160.244001</v>
      </c>
      <c r="G68" s="32">
        <f>AsReported!G47+AsReported!G48-AsReported!G72-AsReported!G73</f>
        <v>-151.45700399999998</v>
      </c>
      <c r="H68" s="32">
        <f>AsReported!H47+AsReported!H48-AsReported!H72-AsReported!H73</f>
        <v>-223.74000699999999</v>
      </c>
      <c r="I68" s="32">
        <f>AsReported!I47+AsReported!I48-AsReported!I72-AsReported!I73</f>
        <v>-233.92600200000001</v>
      </c>
      <c r="J68" s="32">
        <f>J10*J108</f>
        <v>-322.05379823978319</v>
      </c>
      <c r="K68" s="32">
        <f>K10*K108</f>
        <v>-359.71543280386601</v>
      </c>
      <c r="L68" s="32">
        <f>L10*L108</f>
        <v>-391.96161628203834</v>
      </c>
      <c r="M68" s="32">
        <f>M10*M108</f>
        <v>-418.19372391561342</v>
      </c>
      <c r="N68" s="32">
        <f>N10*N108</f>
        <v>-444.37108717016338</v>
      </c>
    </row>
    <row r="69" spans="2:16" ht="13" customHeight="1">
      <c r="B69" s="8" t="s">
        <v>121</v>
      </c>
      <c r="C69" s="32"/>
      <c r="D69" s="32"/>
      <c r="E69" s="32"/>
      <c r="F69" s="32">
        <f>+AsReported!F42-AsReported!F67</f>
        <v>60.424004000000011</v>
      </c>
      <c r="G69" s="32">
        <f>+AsReported!G42-AsReported!G67</f>
        <v>144.436001</v>
      </c>
      <c r="H69" s="32">
        <f>+AsReported!H42-AsReported!H67</f>
        <v>-46.309006000000011</v>
      </c>
      <c r="I69" s="32">
        <f>+AsReported!I42-AsReported!I67</f>
        <v>190.742007</v>
      </c>
      <c r="J69" s="32">
        <f>+I69</f>
        <v>190.742007</v>
      </c>
      <c r="K69" s="32">
        <f t="shared" ref="K69:N69" si="17">+J69</f>
        <v>190.742007</v>
      </c>
      <c r="L69" s="32">
        <f t="shared" si="17"/>
        <v>190.742007</v>
      </c>
      <c r="M69" s="32">
        <f t="shared" si="17"/>
        <v>190.742007</v>
      </c>
      <c r="N69" s="32">
        <f t="shared" si="17"/>
        <v>190.742007</v>
      </c>
    </row>
    <row r="70" spans="2:16" ht="13" customHeight="1">
      <c r="B70" s="8" t="s">
        <v>122</v>
      </c>
      <c r="C70" s="32"/>
      <c r="D70" s="32"/>
      <c r="E70" s="32"/>
      <c r="F70" s="32">
        <v>0</v>
      </c>
      <c r="G70" s="32">
        <v>0</v>
      </c>
      <c r="H70" s="32">
        <v>0</v>
      </c>
      <c r="I70" s="32">
        <v>0</v>
      </c>
      <c r="J70" s="32">
        <v>0</v>
      </c>
      <c r="K70" s="32">
        <v>0</v>
      </c>
      <c r="L70" s="32">
        <v>0</v>
      </c>
      <c r="M70" s="32">
        <v>0</v>
      </c>
      <c r="N70" s="32">
        <v>0</v>
      </c>
    </row>
    <row r="71" spans="2:16" ht="13" customHeight="1">
      <c r="B71" s="12" t="s">
        <v>123</v>
      </c>
      <c r="C71" s="33"/>
      <c r="D71" s="33"/>
      <c r="E71" s="33"/>
      <c r="F71" s="33">
        <f>SUM(F65:F70)</f>
        <v>28.34600300000001</v>
      </c>
      <c r="G71" s="33">
        <f>SUM(G65:G70)</f>
        <v>157.98999800000004</v>
      </c>
      <c r="H71" s="33">
        <f>SUM(H65:H70)</f>
        <v>-121.20701800000001</v>
      </c>
      <c r="I71" s="33">
        <f>SUM(I65:I70)</f>
        <v>148.490016</v>
      </c>
      <c r="J71" s="33">
        <f>SUM(J65:J70)</f>
        <v>135.732128136575</v>
      </c>
      <c r="K71" s="33">
        <f t="shared" ref="K71:N71" si="18">SUM(K65:K70)</f>
        <v>129.29915958755566</v>
      </c>
      <c r="L71" s="33">
        <f t="shared" si="18"/>
        <v>123.79120204556347</v>
      </c>
      <c r="M71" s="33">
        <f t="shared" si="18"/>
        <v>119.31050636322004</v>
      </c>
      <c r="N71" s="33">
        <f t="shared" si="18"/>
        <v>114.83916154608954</v>
      </c>
    </row>
    <row r="72" spans="2:16" ht="5" customHeight="1">
      <c r="C72" s="32"/>
      <c r="D72" s="32"/>
      <c r="E72" s="32"/>
      <c r="F72" s="32"/>
      <c r="G72" s="32"/>
      <c r="H72" s="32"/>
      <c r="I72" s="32"/>
      <c r="J72" s="32"/>
      <c r="K72" s="32"/>
      <c r="L72" s="32"/>
      <c r="M72" s="32"/>
      <c r="N72" s="32"/>
    </row>
    <row r="73" spans="2:16" ht="13" customHeight="1">
      <c r="B73" s="8" t="s">
        <v>124</v>
      </c>
      <c r="C73" s="32"/>
      <c r="D73" s="32"/>
      <c r="E73" s="32"/>
      <c r="F73" s="32">
        <f>+AsReported!F39</f>
        <v>806.53997800000002</v>
      </c>
      <c r="G73" s="32">
        <f>+AsReported!G39</f>
        <v>802.98699999999997</v>
      </c>
      <c r="H73" s="32">
        <f>+AsReported!H39</f>
        <v>913.32202099999995</v>
      </c>
      <c r="I73" s="32">
        <f>+AsReported!I39</f>
        <v>1074.48999</v>
      </c>
      <c r="J73" s="32">
        <f t="shared" ref="J73:N74" si="19">I73-J126-J121</f>
        <v>1166.8457339808272</v>
      </c>
      <c r="K73" s="32">
        <f t="shared" si="19"/>
        <v>1195.6718061325441</v>
      </c>
      <c r="L73" s="32">
        <f t="shared" si="19"/>
        <v>1143.3212711970916</v>
      </c>
      <c r="M73" s="32">
        <f t="shared" si="19"/>
        <v>1157.7115646181032</v>
      </c>
      <c r="N73" s="32">
        <f t="shared" si="19"/>
        <v>1144.2490652188249</v>
      </c>
    </row>
    <row r="74" spans="2:16" ht="13" customHeight="1">
      <c r="B74" s="8" t="s">
        <v>125</v>
      </c>
      <c r="C74" s="32"/>
      <c r="D74" s="32"/>
      <c r="E74" s="32"/>
      <c r="F74" s="32">
        <f>AsReported!F38+AsReported!F37</f>
        <v>434.972016</v>
      </c>
      <c r="G74" s="32">
        <f>AsReported!G38+AsReported!G37</f>
        <v>437.89001500000001</v>
      </c>
      <c r="H74" s="32">
        <f>AsReported!H38+AsReported!H37</f>
        <v>1673.4909670000002</v>
      </c>
      <c r="I74" s="32">
        <f>AsReported!I38+AsReported!I37</f>
        <v>1690.123047</v>
      </c>
      <c r="J74" s="32">
        <f t="shared" si="19"/>
        <v>1705.9148442337971</v>
      </c>
      <c r="K74" s="32">
        <f t="shared" si="19"/>
        <v>1723.5533667656032</v>
      </c>
      <c r="L74" s="32">
        <f t="shared" si="19"/>
        <v>1742.7730698139392</v>
      </c>
      <c r="M74" s="32">
        <f t="shared" si="19"/>
        <v>2607.5662476696311</v>
      </c>
      <c r="N74" s="32">
        <f t="shared" si="19"/>
        <v>2629.3558310979515</v>
      </c>
    </row>
    <row r="75" spans="2:16" ht="13" customHeight="1">
      <c r="B75" s="12" t="s">
        <v>126</v>
      </c>
      <c r="C75" s="33"/>
      <c r="D75" s="33"/>
      <c r="E75" s="33"/>
      <c r="F75" s="33">
        <f>SUM(F73:F74)</f>
        <v>1241.511994</v>
      </c>
      <c r="G75" s="33">
        <f>SUM(G73:G74)</f>
        <v>1240.877015</v>
      </c>
      <c r="H75" s="33">
        <f>SUM(H73:H74)</f>
        <v>2586.8129880000001</v>
      </c>
      <c r="I75" s="33">
        <f>SUM(I73:I74)</f>
        <v>2764.6130370000001</v>
      </c>
      <c r="J75" s="33">
        <f t="shared" ref="J75:N75" si="20">SUM(J73:J74)</f>
        <v>2872.7605782146243</v>
      </c>
      <c r="K75" s="33">
        <f t="shared" si="20"/>
        <v>2919.2251728981473</v>
      </c>
      <c r="L75" s="33">
        <f t="shared" si="20"/>
        <v>2886.0943410110308</v>
      </c>
      <c r="M75" s="33">
        <f t="shared" si="20"/>
        <v>3765.2778122877344</v>
      </c>
      <c r="N75" s="33">
        <f t="shared" si="20"/>
        <v>3773.6048963167764</v>
      </c>
    </row>
    <row r="76" spans="2:16" ht="5" customHeight="1">
      <c r="C76" s="32"/>
      <c r="D76" s="32"/>
      <c r="E76" s="32"/>
      <c r="F76" s="32"/>
      <c r="G76" s="32"/>
      <c r="H76" s="32"/>
      <c r="I76" s="32"/>
      <c r="J76" s="32"/>
      <c r="K76" s="32"/>
      <c r="L76" s="32"/>
      <c r="M76" s="32"/>
      <c r="N76" s="32"/>
    </row>
    <row r="77" spans="2:16" ht="13" customHeight="1">
      <c r="B77" s="186" t="s">
        <v>127</v>
      </c>
      <c r="C77" s="299"/>
      <c r="D77" s="299"/>
      <c r="E77" s="299"/>
      <c r="F77" s="299">
        <f>+F75+F71</f>
        <v>1269.8579970000001</v>
      </c>
      <c r="G77" s="299">
        <f>+G75+G71</f>
        <v>1398.867013</v>
      </c>
      <c r="H77" s="299">
        <f>+H75+H71</f>
        <v>2465.6059700000001</v>
      </c>
      <c r="I77" s="299">
        <f>+I75+I71</f>
        <v>2913.1030530000003</v>
      </c>
      <c r="J77" s="299">
        <f>+J75+J71</f>
        <v>3008.4927063511991</v>
      </c>
      <c r="K77" s="299">
        <f t="shared" ref="K77:N77" si="21">+K75+K71</f>
        <v>3048.5243324857029</v>
      </c>
      <c r="L77" s="299">
        <f t="shared" si="21"/>
        <v>3009.8855430565941</v>
      </c>
      <c r="M77" s="299">
        <f t="shared" si="21"/>
        <v>3884.5883186509545</v>
      </c>
      <c r="N77" s="299">
        <f t="shared" si="21"/>
        <v>3888.444057862866</v>
      </c>
    </row>
    <row r="78" spans="2:16" ht="5" customHeight="1">
      <c r="C78" s="32"/>
      <c r="D78" s="32"/>
      <c r="E78" s="32"/>
      <c r="F78" s="32"/>
      <c r="G78" s="32"/>
      <c r="H78" s="32"/>
      <c r="I78" s="32"/>
      <c r="J78" s="32"/>
      <c r="K78" s="32"/>
      <c r="L78" s="32"/>
      <c r="M78" s="32"/>
      <c r="N78" s="32"/>
    </row>
    <row r="79" spans="2:16" ht="13" customHeight="1">
      <c r="B79" s="8" t="s">
        <v>128</v>
      </c>
      <c r="C79" s="32"/>
      <c r="D79" s="32"/>
      <c r="E79" s="32"/>
      <c r="F79" s="32">
        <f>AsReported!F40</f>
        <v>0</v>
      </c>
      <c r="G79" s="32">
        <f>AsReported!G40</f>
        <v>0</v>
      </c>
      <c r="H79" s="32">
        <f>AsReported!H40</f>
        <v>0.82599999999999996</v>
      </c>
      <c r="I79" s="32">
        <f>AsReported!I40</f>
        <v>0.90800000000000003</v>
      </c>
      <c r="J79" s="32">
        <f>$I$79</f>
        <v>0.90800000000000003</v>
      </c>
      <c r="K79" s="32">
        <f t="shared" ref="K79:N79" si="22">$I$79</f>
        <v>0.90800000000000003</v>
      </c>
      <c r="L79" s="32">
        <f t="shared" si="22"/>
        <v>0.90800000000000003</v>
      </c>
      <c r="M79" s="32">
        <f t="shared" si="22"/>
        <v>0.90800000000000003</v>
      </c>
      <c r="N79" s="32">
        <f t="shared" si="22"/>
        <v>0.90800000000000003</v>
      </c>
      <c r="P79" s="6" t="s">
        <v>129</v>
      </c>
    </row>
    <row r="80" spans="2:16" ht="13" customHeight="1">
      <c r="B80" s="8" t="s">
        <v>130</v>
      </c>
      <c r="C80" s="32"/>
      <c r="D80" s="32"/>
      <c r="E80" s="32"/>
      <c r="F80" s="32">
        <f>-AsReported!F66</f>
        <v>-17.138999999999999</v>
      </c>
      <c r="G80" s="32">
        <f>-AsReported!G66</f>
        <v>-20.135000000000002</v>
      </c>
      <c r="H80" s="32">
        <f>-AsReported!H66</f>
        <v>-23.774000000000001</v>
      </c>
      <c r="I80" s="32">
        <f>-AsReported!I66</f>
        <v>-39.297001000000002</v>
      </c>
      <c r="J80" s="32">
        <f>$I$80</f>
        <v>-39.297001000000002</v>
      </c>
      <c r="K80" s="32">
        <f t="shared" ref="K80:N80" si="23">$I$80</f>
        <v>-39.297001000000002</v>
      </c>
      <c r="L80" s="32">
        <f t="shared" si="23"/>
        <v>-39.297001000000002</v>
      </c>
      <c r="M80" s="32">
        <f t="shared" si="23"/>
        <v>-39.297001000000002</v>
      </c>
      <c r="N80" s="32">
        <f t="shared" si="23"/>
        <v>-39.297001000000002</v>
      </c>
    </row>
    <row r="81" spans="2:14" ht="13" customHeight="1">
      <c r="B81" s="8" t="s">
        <v>131</v>
      </c>
      <c r="C81" s="32"/>
      <c r="D81" s="32"/>
      <c r="E81" s="32"/>
      <c r="F81" s="32">
        <f>AsReported!F41+AsReported!F53-AsReported!F76+AsReported!F49</f>
        <v>33.577001000000003</v>
      </c>
      <c r="G81" s="32">
        <f>AsReported!G41+AsReported!G53-AsReported!G76+AsReported!G49</f>
        <v>38.315998999999998</v>
      </c>
      <c r="H81" s="32">
        <f>AsReported!H41+AsReported!H53-AsReported!H76+AsReported!H49</f>
        <v>37.804001</v>
      </c>
      <c r="I81" s="32">
        <f>AsReported!I41+AsReported!I53-AsReported!I76+AsReported!I49</f>
        <v>58.213999000000001</v>
      </c>
      <c r="J81" s="32">
        <f>$I$81</f>
        <v>58.213999000000001</v>
      </c>
      <c r="K81" s="32">
        <f t="shared" ref="K81:N81" si="24">$I$81</f>
        <v>58.213999000000001</v>
      </c>
      <c r="L81" s="32">
        <f t="shared" si="24"/>
        <v>58.213999000000001</v>
      </c>
      <c r="M81" s="32">
        <f t="shared" si="24"/>
        <v>58.213999000000001</v>
      </c>
      <c r="N81" s="32">
        <f t="shared" si="24"/>
        <v>58.213999000000001</v>
      </c>
    </row>
    <row r="82" spans="2:14" ht="13" customHeight="1">
      <c r="B82" s="12" t="s">
        <v>132</v>
      </c>
      <c r="C82" s="33"/>
      <c r="D82" s="33"/>
      <c r="E82" s="33"/>
      <c r="F82" s="33">
        <f>SUM(F79:F81)</f>
        <v>16.438001000000003</v>
      </c>
      <c r="G82" s="33">
        <f>SUM(G79:G81)</f>
        <v>18.180998999999996</v>
      </c>
      <c r="H82" s="33">
        <f>SUM(H79:H81)</f>
        <v>14.856000999999999</v>
      </c>
      <c r="I82" s="33">
        <f>SUM(I79:I81)</f>
        <v>19.824998000000001</v>
      </c>
      <c r="J82" s="33">
        <f t="shared" ref="J82:N82" si="25">SUM(J79:J81)</f>
        <v>19.824998000000001</v>
      </c>
      <c r="K82" s="33">
        <f t="shared" si="25"/>
        <v>19.824998000000001</v>
      </c>
      <c r="L82" s="33">
        <f t="shared" si="25"/>
        <v>19.824998000000001</v>
      </c>
      <c r="M82" s="33">
        <f t="shared" si="25"/>
        <v>19.824998000000001</v>
      </c>
      <c r="N82" s="33">
        <f t="shared" si="25"/>
        <v>19.824998000000001</v>
      </c>
    </row>
    <row r="83" spans="2:14" ht="5" customHeight="1">
      <c r="C83" s="32"/>
      <c r="D83" s="32"/>
      <c r="E83" s="32"/>
      <c r="F83" s="32"/>
      <c r="G83" s="32"/>
      <c r="H83" s="32"/>
      <c r="I83" s="32"/>
      <c r="J83" s="32"/>
      <c r="K83" s="32"/>
      <c r="L83" s="32"/>
      <c r="M83" s="32"/>
      <c r="N83" s="32"/>
    </row>
    <row r="84" spans="2:14" ht="13" customHeight="1">
      <c r="B84" s="186" t="s">
        <v>133</v>
      </c>
      <c r="C84" s="299"/>
      <c r="D84" s="299"/>
      <c r="E84" s="299"/>
      <c r="F84" s="299">
        <f>+F82+F77</f>
        <v>1286.2959980000001</v>
      </c>
      <c r="G84" s="299">
        <f>+G82+G77</f>
        <v>1417.048012</v>
      </c>
      <c r="H84" s="299">
        <f>+H82+H77</f>
        <v>2480.4619710000002</v>
      </c>
      <c r="I84" s="299">
        <f>+I82+I77</f>
        <v>2932.9280510000003</v>
      </c>
      <c r="J84" s="299">
        <f>+J82+J77</f>
        <v>3028.3177043511992</v>
      </c>
      <c r="K84" s="299">
        <f t="shared" ref="K84:N84" si="26">+K82+K77</f>
        <v>3068.3493304857029</v>
      </c>
      <c r="L84" s="299">
        <f t="shared" si="26"/>
        <v>3029.7105410565941</v>
      </c>
      <c r="M84" s="299">
        <f t="shared" si="26"/>
        <v>3904.4133166509546</v>
      </c>
      <c r="N84" s="299">
        <f t="shared" si="26"/>
        <v>3908.269055862866</v>
      </c>
    </row>
    <row r="86" spans="2:14" ht="13" customHeight="1">
      <c r="B86" s="8" t="s">
        <v>134</v>
      </c>
      <c r="C86" s="32"/>
      <c r="D86" s="32"/>
      <c r="E86" s="32"/>
      <c r="F86" s="32">
        <f>+AsReported!F70</f>
        <v>126.780998</v>
      </c>
      <c r="G86" s="32">
        <f>+AsReported!G70</f>
        <v>150.42300399999999</v>
      </c>
      <c r="H86" s="32">
        <f>+AsReported!H70</f>
        <v>289.19101000000001</v>
      </c>
      <c r="I86" s="32">
        <f>+AsReported!I70</f>
        <v>194.070007</v>
      </c>
      <c r="J86" s="65">
        <f>J10*J109</f>
        <v>240.12150128538417</v>
      </c>
      <c r="K86" s="65">
        <f>K10*K109</f>
        <v>268.20180427145829</v>
      </c>
      <c r="L86" s="65">
        <f>L10*L109</f>
        <v>352.76545465383447</v>
      </c>
      <c r="M86" s="65">
        <f>M10*M109</f>
        <v>376.37435152405203</v>
      </c>
      <c r="N86" s="65">
        <f>N10*N109</f>
        <v>399.93397845314701</v>
      </c>
    </row>
    <row r="87" spans="2:14" ht="13" customHeight="1">
      <c r="B87" s="8" t="s">
        <v>135</v>
      </c>
      <c r="C87" s="32"/>
      <c r="D87" s="32"/>
      <c r="E87" s="32"/>
      <c r="F87" s="32">
        <f>AsReported!F64</f>
        <v>611.99700900000005</v>
      </c>
      <c r="G87" s="32">
        <f>AsReported!G64</f>
        <v>562.84399399999995</v>
      </c>
      <c r="H87" s="32">
        <f>AsReported!H64</f>
        <v>624.73199499999998</v>
      </c>
      <c r="I87" s="32">
        <f>AsReported!I64</f>
        <v>718.70898399999999</v>
      </c>
      <c r="J87" s="32">
        <f>+I87</f>
        <v>718.70898399999999</v>
      </c>
      <c r="K87" s="32">
        <f t="shared" ref="K87:N87" si="27">+J87</f>
        <v>718.70898399999999</v>
      </c>
      <c r="L87" s="32">
        <f t="shared" si="27"/>
        <v>718.70898399999999</v>
      </c>
      <c r="M87" s="32">
        <f t="shared" si="27"/>
        <v>718.70898399999999</v>
      </c>
      <c r="N87" s="32">
        <f t="shared" si="27"/>
        <v>718.70898399999999</v>
      </c>
    </row>
    <row r="88" spans="2:14" ht="13" customHeight="1">
      <c r="B88" s="8" t="s">
        <v>136</v>
      </c>
      <c r="C88" s="32"/>
      <c r="D88" s="32"/>
      <c r="E88" s="32"/>
      <c r="F88" s="32">
        <f>AsReported!F65</f>
        <v>0.223</v>
      </c>
      <c r="G88" s="32">
        <f>AsReported!G65</f>
        <v>0.14199999999999999</v>
      </c>
      <c r="H88" s="32">
        <f>AsReported!H65</f>
        <v>0.16300000000000001</v>
      </c>
      <c r="I88" s="32">
        <f>AsReported!I65</f>
        <v>0.11700000000000001</v>
      </c>
      <c r="J88" s="32">
        <f>I88</f>
        <v>0.11700000000000001</v>
      </c>
      <c r="K88" s="32">
        <f t="shared" ref="K88:N88" si="28">J88</f>
        <v>0.11700000000000001</v>
      </c>
      <c r="L88" s="32">
        <f t="shared" si="28"/>
        <v>0.11700000000000001</v>
      </c>
      <c r="M88" s="32">
        <f t="shared" si="28"/>
        <v>0.11700000000000001</v>
      </c>
      <c r="N88" s="32">
        <f t="shared" si="28"/>
        <v>0.11700000000000001</v>
      </c>
    </row>
    <row r="89" spans="2:14" ht="13" customHeight="1">
      <c r="B89" s="11" t="s">
        <v>137</v>
      </c>
      <c r="C89" s="34"/>
      <c r="D89" s="34"/>
      <c r="E89" s="34"/>
      <c r="F89" s="34">
        <f>SUM(F86:F88)</f>
        <v>739.00100699999996</v>
      </c>
      <c r="G89" s="34">
        <f t="shared" ref="G89:N89" si="29">SUM(G86:G88)</f>
        <v>713.408998</v>
      </c>
      <c r="H89" s="34">
        <f t="shared" si="29"/>
        <v>914.086005</v>
      </c>
      <c r="I89" s="34">
        <f t="shared" si="29"/>
        <v>912.89599099999998</v>
      </c>
      <c r="J89" s="34">
        <f>SUM(J86:J88)</f>
        <v>958.94748528538412</v>
      </c>
      <c r="K89" s="34">
        <f t="shared" si="29"/>
        <v>987.02778827145823</v>
      </c>
      <c r="L89" s="34">
        <f t="shared" si="29"/>
        <v>1071.5914386538345</v>
      </c>
      <c r="M89" s="34">
        <f t="shared" si="29"/>
        <v>1095.200335524052</v>
      </c>
      <c r="N89" s="34">
        <f t="shared" si="29"/>
        <v>1118.759962453147</v>
      </c>
    </row>
    <row r="90" spans="2:14" ht="13" customHeight="1">
      <c r="B90" s="8" t="s">
        <v>138</v>
      </c>
      <c r="C90" s="32"/>
      <c r="D90" s="32"/>
      <c r="E90" s="32"/>
      <c r="F90" s="32">
        <f>-AsReported!F50</f>
        <v>-759.07299799999998</v>
      </c>
      <c r="G90" s="32">
        <f>-AsReported!G50</f>
        <v>-923.49798599999997</v>
      </c>
      <c r="H90" s="32">
        <f>-AsReported!H50</f>
        <v>-932.71801800000003</v>
      </c>
      <c r="I90" s="32">
        <f>-AsReported!I50</f>
        <v>-882.25402799999995</v>
      </c>
      <c r="J90" s="220">
        <f>-J114</f>
        <v>-1375.4964488729368</v>
      </c>
      <c r="K90" s="220">
        <f>-K114</f>
        <v>-1929.1250247663168</v>
      </c>
      <c r="L90" s="220">
        <f>-L114</f>
        <v>-2621.6544645898116</v>
      </c>
      <c r="M90" s="220">
        <f>-M114</f>
        <v>-2417.9194630218831</v>
      </c>
      <c r="N90" s="220">
        <f>-N114</f>
        <v>-3110.0229471762605</v>
      </c>
    </row>
    <row r="91" spans="2:14" ht="13" customHeight="1">
      <c r="B91" s="12" t="s">
        <v>139</v>
      </c>
      <c r="C91" s="33"/>
      <c r="D91" s="33"/>
      <c r="E91" s="33"/>
      <c r="F91" s="33">
        <f>SUM(F89:F90)</f>
        <v>-20.071991000000025</v>
      </c>
      <c r="G91" s="33">
        <f t="shared" ref="G91:N91" si="30">SUM(G89:G90)</f>
        <v>-210.08898799999997</v>
      </c>
      <c r="H91" s="33">
        <f t="shared" si="30"/>
        <v>-18.632013000000029</v>
      </c>
      <c r="I91" s="33">
        <f t="shared" si="30"/>
        <v>30.641963000000032</v>
      </c>
      <c r="J91" s="33">
        <f>SUM(J89:J90)</f>
        <v>-416.54896358755263</v>
      </c>
      <c r="K91" s="33">
        <f t="shared" si="30"/>
        <v>-942.09723649485852</v>
      </c>
      <c r="L91" s="33">
        <f t="shared" si="30"/>
        <v>-1550.0630259359771</v>
      </c>
      <c r="M91" s="33">
        <f t="shared" si="30"/>
        <v>-1322.7191274978311</v>
      </c>
      <c r="N91" s="33">
        <f t="shared" si="30"/>
        <v>-1991.2629847231135</v>
      </c>
    </row>
    <row r="92" spans="2:14" ht="5" customHeight="1">
      <c r="C92" s="32"/>
      <c r="D92" s="32"/>
      <c r="E92" s="32"/>
      <c r="F92" s="32"/>
      <c r="G92" s="32"/>
      <c r="H92" s="32"/>
      <c r="I92" s="32"/>
      <c r="J92" s="32"/>
      <c r="K92" s="32"/>
      <c r="L92" s="32"/>
      <c r="M92" s="32"/>
      <c r="N92" s="32"/>
    </row>
    <row r="93" spans="2:14" ht="13" customHeight="1">
      <c r="B93" s="8" t="s">
        <v>50</v>
      </c>
      <c r="C93" s="32"/>
      <c r="D93" s="32"/>
      <c r="E93" s="32"/>
      <c r="F93" s="32">
        <f>+AsReported!F57</f>
        <v>51.596001000000001</v>
      </c>
      <c r="G93" s="32">
        <f>+AsReported!G57</f>
        <v>51.671000999999997</v>
      </c>
      <c r="H93" s="32">
        <f>+AsReported!H57</f>
        <v>54.737000000000002</v>
      </c>
      <c r="I93" s="32">
        <f>+AsReported!I57</f>
        <v>54.737000000000002</v>
      </c>
      <c r="J93" s="32">
        <f>+I93</f>
        <v>54.737000000000002</v>
      </c>
      <c r="K93" s="32">
        <f t="shared" ref="K93:N93" si="31">+J93</f>
        <v>54.737000000000002</v>
      </c>
      <c r="L93" s="32">
        <f t="shared" si="31"/>
        <v>54.737000000000002</v>
      </c>
      <c r="M93" s="32">
        <f t="shared" si="31"/>
        <v>54.737000000000002</v>
      </c>
      <c r="N93" s="32">
        <f t="shared" si="31"/>
        <v>54.737000000000002</v>
      </c>
    </row>
    <row r="94" spans="2:14" ht="13" customHeight="1">
      <c r="B94" s="8" t="s">
        <v>140</v>
      </c>
      <c r="C94" s="32"/>
      <c r="D94" s="32"/>
      <c r="E94" s="32"/>
      <c r="F94" s="32">
        <f>+AsReported!F58+AsReported!F59</f>
        <v>1254.691986</v>
      </c>
      <c r="G94" s="32">
        <f>+AsReported!G58+AsReported!G59</f>
        <v>1575.376984</v>
      </c>
      <c r="H94" s="32">
        <f>+AsReported!H58+AsReported!H59</f>
        <v>2444.2489930000002</v>
      </c>
      <c r="I94" s="32">
        <f>+AsReported!I58+AsReported!I59</f>
        <v>2847.4330439999999</v>
      </c>
      <c r="J94" s="32">
        <f>I94+J31-J34</f>
        <v>3390.0136239387516</v>
      </c>
      <c r="K94" s="32">
        <f>J94+K31-K34</f>
        <v>3955.5935229805614</v>
      </c>
      <c r="L94" s="32">
        <f>K94+L31-L34</f>
        <v>4524.920522992571</v>
      </c>
      <c r="M94" s="32">
        <f>L94+M31-M34</f>
        <v>5172.2794001487855</v>
      </c>
      <c r="N94" s="32">
        <f>M94+N31-N34</f>
        <v>5844.6789965859798</v>
      </c>
    </row>
    <row r="95" spans="2:14" ht="13" customHeight="1">
      <c r="B95" s="11" t="s">
        <v>141</v>
      </c>
      <c r="C95" s="34"/>
      <c r="D95" s="34"/>
      <c r="E95" s="34"/>
      <c r="F95" s="34">
        <f>SUM(F93:F94)</f>
        <v>1306.2879870000002</v>
      </c>
      <c r="G95" s="34">
        <f>SUM(G93:G94)</f>
        <v>1627.0479849999999</v>
      </c>
      <c r="H95" s="34">
        <f>SUM(H93:H94)</f>
        <v>2498.9859930000002</v>
      </c>
      <c r="I95" s="34">
        <f>SUM(I93:I94)</f>
        <v>2902.170044</v>
      </c>
      <c r="J95" s="34">
        <f t="shared" ref="J95:N95" si="32">SUM(J93:J94)</f>
        <v>3444.7506239387517</v>
      </c>
      <c r="K95" s="34">
        <f t="shared" si="32"/>
        <v>4010.3305229805615</v>
      </c>
      <c r="L95" s="34">
        <f t="shared" si="32"/>
        <v>4579.6575229925711</v>
      </c>
      <c r="M95" s="34">
        <f t="shared" si="32"/>
        <v>5227.0164001487856</v>
      </c>
      <c r="N95" s="34">
        <f t="shared" si="32"/>
        <v>5899.4159965859799</v>
      </c>
    </row>
    <row r="96" spans="2:14" ht="13" customHeight="1">
      <c r="B96" s="8" t="s">
        <v>142</v>
      </c>
      <c r="C96" s="32"/>
      <c r="D96" s="32"/>
      <c r="E96" s="32"/>
      <c r="F96" s="32">
        <f>+AsReported!F61</f>
        <v>0.08</v>
      </c>
      <c r="G96" s="32">
        <f>+AsReported!G61</f>
        <v>8.8999999999999996E-2</v>
      </c>
      <c r="H96" s="32">
        <f>+AsReported!H61</f>
        <v>0.108</v>
      </c>
      <c r="I96" s="32">
        <f>+AsReported!I61</f>
        <v>0.11600000000000001</v>
      </c>
      <c r="J96" s="32">
        <f>+I96</f>
        <v>0.11600000000000001</v>
      </c>
      <c r="K96" s="32">
        <f t="shared" ref="K96:N96" si="33">+J96</f>
        <v>0.11600000000000001</v>
      </c>
      <c r="L96" s="32">
        <f t="shared" si="33"/>
        <v>0.11600000000000001</v>
      </c>
      <c r="M96" s="32">
        <f t="shared" si="33"/>
        <v>0.11600000000000001</v>
      </c>
      <c r="N96" s="32">
        <f t="shared" si="33"/>
        <v>0.11600000000000001</v>
      </c>
    </row>
    <row r="97" spans="2:16" ht="13" customHeight="1">
      <c r="B97" s="12" t="s">
        <v>143</v>
      </c>
      <c r="C97" s="33"/>
      <c r="D97" s="33"/>
      <c r="E97" s="33"/>
      <c r="F97" s="33">
        <f>+F96+F95</f>
        <v>1306.3679870000001</v>
      </c>
      <c r="G97" s="33">
        <f>+G96+G95</f>
        <v>1627.1369849999999</v>
      </c>
      <c r="H97" s="33">
        <f>+H96+H95</f>
        <v>2499.0939930000004</v>
      </c>
      <c r="I97" s="33">
        <f>+I96+I95</f>
        <v>2902.2860439999999</v>
      </c>
      <c r="J97" s="33">
        <f t="shared" ref="J97:N97" si="34">+J96+J95</f>
        <v>3444.8666239387517</v>
      </c>
      <c r="K97" s="33">
        <f t="shared" si="34"/>
        <v>4010.4465229805614</v>
      </c>
      <c r="L97" s="33">
        <f t="shared" si="34"/>
        <v>4579.7735229925711</v>
      </c>
      <c r="M97" s="33">
        <f t="shared" si="34"/>
        <v>5227.1324001487856</v>
      </c>
      <c r="N97" s="33">
        <f t="shared" si="34"/>
        <v>5899.5319965859799</v>
      </c>
    </row>
    <row r="98" spans="2:16" ht="5" customHeight="1">
      <c r="C98" s="32"/>
      <c r="D98" s="32"/>
      <c r="E98" s="32"/>
      <c r="F98" s="32"/>
      <c r="G98" s="32"/>
      <c r="H98" s="32"/>
      <c r="I98" s="32"/>
      <c r="J98" s="32"/>
      <c r="K98" s="32"/>
      <c r="L98" s="32"/>
      <c r="M98" s="32"/>
      <c r="N98" s="32"/>
    </row>
    <row r="99" spans="2:16" ht="13" customHeight="1">
      <c r="B99" s="186" t="s">
        <v>144</v>
      </c>
      <c r="C99" s="299"/>
      <c r="D99" s="299"/>
      <c r="E99" s="299"/>
      <c r="F99" s="299">
        <f>+F97+F91</f>
        <v>1286.2959960000001</v>
      </c>
      <c r="G99" s="299">
        <f>+G97+G91</f>
        <v>1417.0479969999999</v>
      </c>
      <c r="H99" s="299">
        <f>+H97+H91</f>
        <v>2480.4619800000005</v>
      </c>
      <c r="I99" s="299">
        <f>+I97+I91</f>
        <v>2932.928007</v>
      </c>
      <c r="J99" s="299">
        <f>+J97+J91</f>
        <v>3028.3176603511993</v>
      </c>
      <c r="K99" s="299">
        <f t="shared" ref="K99:N99" si="35">+K97+K91</f>
        <v>3068.349286485703</v>
      </c>
      <c r="L99" s="299">
        <f t="shared" si="35"/>
        <v>3029.7104970565942</v>
      </c>
      <c r="M99" s="299">
        <f t="shared" si="35"/>
        <v>3904.4132726509542</v>
      </c>
      <c r="N99" s="299">
        <f t="shared" si="35"/>
        <v>3908.2690118628661</v>
      </c>
    </row>
    <row r="100" spans="2:16" ht="5" customHeight="1">
      <c r="B100" s="134"/>
      <c r="C100" s="32"/>
      <c r="D100" s="32"/>
      <c r="E100" s="32"/>
      <c r="F100" s="32"/>
      <c r="G100" s="32"/>
      <c r="H100" s="32"/>
      <c r="I100" s="32"/>
      <c r="J100" s="32"/>
      <c r="K100" s="32"/>
      <c r="L100" s="32"/>
      <c r="M100" s="32"/>
      <c r="N100" s="32"/>
    </row>
    <row r="101" spans="2:16" ht="13" customHeight="1">
      <c r="B101" s="135" t="s">
        <v>145</v>
      </c>
      <c r="C101" s="133"/>
      <c r="D101" s="133"/>
      <c r="E101" s="133"/>
      <c r="F101" s="133">
        <f>+F99-F84</f>
        <v>-1.9999999949504854E-6</v>
      </c>
      <c r="G101" s="133">
        <f>+G99-G84</f>
        <v>-1.5000000075815478E-5</v>
      </c>
      <c r="H101" s="133">
        <f>+H99-H84</f>
        <v>9.0000003183376975E-6</v>
      </c>
      <c r="I101" s="133">
        <f>+I99-I84</f>
        <v>-4.400000034365803E-5</v>
      </c>
      <c r="J101" s="133">
        <f>+J99-J84</f>
        <v>-4.3999999888910679E-5</v>
      </c>
      <c r="K101" s="133">
        <f t="shared" ref="K101:N101" si="36">+K99-K84</f>
        <v>-4.3999999888910679E-5</v>
      </c>
      <c r="L101" s="133">
        <f t="shared" si="36"/>
        <v>-4.3999999888910679E-5</v>
      </c>
      <c r="M101" s="133">
        <f t="shared" si="36"/>
        <v>-4.400000034365803E-5</v>
      </c>
      <c r="N101" s="133">
        <f t="shared" si="36"/>
        <v>-4.3999999888910679E-5</v>
      </c>
      <c r="O101" s="133"/>
    </row>
    <row r="102" spans="2:16" ht="13" customHeight="1">
      <c r="B102" s="135"/>
      <c r="C102" s="133"/>
      <c r="D102" s="133"/>
      <c r="E102" s="133"/>
      <c r="F102" s="133"/>
      <c r="G102" s="133"/>
      <c r="H102" s="133"/>
      <c r="I102" s="133"/>
      <c r="J102" s="133"/>
      <c r="K102" s="133"/>
      <c r="L102" s="133"/>
      <c r="M102" s="133"/>
      <c r="N102" s="133"/>
      <c r="O102" s="133"/>
    </row>
    <row r="103" spans="2:16" ht="13" customHeight="1">
      <c r="B103" s="487" t="s">
        <v>146</v>
      </c>
      <c r="C103" s="488"/>
      <c r="D103" s="488"/>
      <c r="E103" s="488"/>
      <c r="F103" s="488"/>
      <c r="G103" s="488"/>
      <c r="H103" s="488"/>
      <c r="I103" s="488"/>
      <c r="J103" s="488"/>
      <c r="K103" s="488"/>
      <c r="L103" s="488"/>
      <c r="M103" s="488"/>
      <c r="N103" s="488"/>
    </row>
    <row r="104" spans="2:16" ht="5.25" customHeight="1">
      <c r="B104" s="256"/>
      <c r="C104" s="406"/>
      <c r="D104" s="406"/>
      <c r="E104" s="406"/>
      <c r="F104" s="406"/>
      <c r="G104" s="406"/>
      <c r="H104" s="406"/>
      <c r="I104" s="406"/>
      <c r="J104" s="406"/>
      <c r="K104" s="406"/>
      <c r="L104" s="406"/>
      <c r="M104" s="406"/>
      <c r="N104" s="406"/>
    </row>
    <row r="105" spans="2:16" ht="13" customHeight="1">
      <c r="B105" s="6" t="s">
        <v>147</v>
      </c>
      <c r="C105" s="221"/>
      <c r="D105" s="133"/>
      <c r="E105" s="133"/>
      <c r="F105" s="19">
        <f>(F65*365)/(F10*(1+F46))</f>
        <v>30.864373325029394</v>
      </c>
      <c r="G105" s="19">
        <f>(G65*365)/(G10*(1+G46))</f>
        <v>36.170598781983266</v>
      </c>
      <c r="H105" s="19">
        <f>(H65*365)/(H10*(1+H46))</f>
        <v>34.255446477822055</v>
      </c>
      <c r="I105" s="19">
        <f>(I65*365)/(I10*(1+I46))</f>
        <v>34.085929980344453</v>
      </c>
      <c r="J105" s="19">
        <f>+I105</f>
        <v>34.085929980344453</v>
      </c>
      <c r="K105" s="19">
        <f t="shared" ref="K105:N105" si="37">+J105</f>
        <v>34.085929980344453</v>
      </c>
      <c r="L105" s="19">
        <f t="shared" si="37"/>
        <v>34.085929980344453</v>
      </c>
      <c r="M105" s="19">
        <f t="shared" si="37"/>
        <v>34.085929980344453</v>
      </c>
      <c r="N105" s="19">
        <f t="shared" si="37"/>
        <v>34.085929980344453</v>
      </c>
    </row>
    <row r="106" spans="2:16" ht="13" customHeight="1">
      <c r="B106" s="6" t="s">
        <v>148</v>
      </c>
      <c r="C106" s="133"/>
      <c r="D106" s="133"/>
      <c r="E106" s="221"/>
      <c r="F106" s="19">
        <f>F67*365/F13</f>
        <v>-398.51134401985962</v>
      </c>
      <c r="G106" s="19">
        <f>G67*365/G13</f>
        <v>-494.04929357695517</v>
      </c>
      <c r="H106" s="19">
        <f>H67*365/H13</f>
        <v>-413.38493817809427</v>
      </c>
      <c r="I106" s="19">
        <f>I67*365/I13</f>
        <v>-393.57562952709048</v>
      </c>
      <c r="J106" s="19">
        <v>-400</v>
      </c>
      <c r="K106" s="19">
        <v>-400</v>
      </c>
      <c r="L106" s="19">
        <v>-400</v>
      </c>
      <c r="M106" s="19">
        <v>-400</v>
      </c>
      <c r="N106" s="19">
        <v>-400</v>
      </c>
    </row>
    <row r="107" spans="2:16" ht="13" customHeight="1">
      <c r="B107" s="6" t="s">
        <v>149</v>
      </c>
      <c r="C107" s="221"/>
      <c r="D107" s="133"/>
      <c r="E107" s="133"/>
      <c r="F107" s="19">
        <f>(F66*365)/(F13*(1+F46))</f>
        <v>388.81836561933159</v>
      </c>
      <c r="G107" s="19">
        <f>(G66*365)/(G13*(1+G46))</f>
        <v>423.1982347423841</v>
      </c>
      <c r="H107" s="19">
        <f>(H66*365)/(H13*(1+H46))</f>
        <v>448.6901493769131</v>
      </c>
      <c r="I107" s="19">
        <f>(I66*365)/(I13*(1+I46))</f>
        <v>412.21598208305653</v>
      </c>
      <c r="J107" s="19">
        <f>+I107</f>
        <v>412.21598208305653</v>
      </c>
      <c r="K107" s="19">
        <f t="shared" ref="K107:N107" si="38">+J107</f>
        <v>412.21598208305653</v>
      </c>
      <c r="L107" s="19">
        <f t="shared" si="38"/>
        <v>412.21598208305653</v>
      </c>
      <c r="M107" s="19">
        <f t="shared" si="38"/>
        <v>412.21598208305653</v>
      </c>
      <c r="N107" s="19">
        <f t="shared" si="38"/>
        <v>412.21598208305653</v>
      </c>
    </row>
    <row r="108" spans="2:16" ht="13" customHeight="1">
      <c r="B108" s="6" t="s">
        <v>150</v>
      </c>
      <c r="C108" s="133"/>
      <c r="D108" s="133"/>
      <c r="E108" s="133"/>
      <c r="F108" s="19">
        <f>F68/F10</f>
        <v>-9.844787692811803E-2</v>
      </c>
      <c r="G108" s="19">
        <f>G68/G10</f>
        <v>-0.10514860564005145</v>
      </c>
      <c r="H108" s="19">
        <f>H68/H10</f>
        <v>-0.10934933580937417</v>
      </c>
      <c r="I108" s="19">
        <f>I68/I10</f>
        <v>-8.9871647136938654E-2</v>
      </c>
      <c r="J108" s="19">
        <v>-0.1</v>
      </c>
      <c r="K108" s="19">
        <v>-0.1</v>
      </c>
      <c r="L108" s="19">
        <v>-0.1</v>
      </c>
      <c r="M108" s="19">
        <v>-0.1</v>
      </c>
      <c r="N108" s="19">
        <v>-0.1</v>
      </c>
    </row>
    <row r="109" spans="2:16" ht="13" customHeight="1">
      <c r="B109" s="6" t="s">
        <v>151</v>
      </c>
      <c r="C109" s="133"/>
      <c r="D109" s="133"/>
      <c r="E109" s="133"/>
      <c r="F109" s="19">
        <f>F86/F10</f>
        <v>7.7889468623090471E-2</v>
      </c>
      <c r="G109" s="19">
        <f>G86/G10</f>
        <v>0.10443075400321455</v>
      </c>
      <c r="H109" s="19">
        <f>H86/H10</f>
        <v>0.14133746257343277</v>
      </c>
      <c r="I109" s="19">
        <f>I86/I10</f>
        <v>7.4559437770270673E-2</v>
      </c>
      <c r="J109" s="19">
        <f>$I$109</f>
        <v>7.4559437770270673E-2</v>
      </c>
      <c r="K109" s="19">
        <f>$I$109</f>
        <v>7.4559437770270673E-2</v>
      </c>
      <c r="L109" s="19">
        <v>0.09</v>
      </c>
      <c r="M109" s="19">
        <v>0.09</v>
      </c>
      <c r="N109" s="19">
        <v>0.09</v>
      </c>
    </row>
    <row r="110" spans="2:16" ht="13" customHeight="1">
      <c r="B110" s="6"/>
      <c r="C110" s="133"/>
      <c r="D110" s="133"/>
      <c r="E110" s="133"/>
      <c r="F110" s="19"/>
      <c r="G110" s="19"/>
      <c r="H110" s="19"/>
      <c r="I110" s="19"/>
      <c r="J110" s="19"/>
      <c r="K110" s="19"/>
      <c r="L110" s="19"/>
      <c r="M110" s="19"/>
      <c r="N110" s="19"/>
    </row>
    <row r="111" spans="2:16" ht="13" customHeight="1">
      <c r="B111" s="419" t="s">
        <v>152</v>
      </c>
      <c r="C111" s="417"/>
      <c r="D111" s="417"/>
      <c r="E111" s="417"/>
      <c r="F111" s="417"/>
      <c r="G111" s="417"/>
      <c r="H111" s="417"/>
      <c r="I111" s="417"/>
      <c r="J111" s="417"/>
      <c r="K111" s="417"/>
      <c r="L111" s="417"/>
      <c r="M111" s="417"/>
      <c r="N111" s="417"/>
    </row>
    <row r="112" spans="2:16" ht="13" customHeight="1">
      <c r="B112" s="8" t="s">
        <v>153</v>
      </c>
      <c r="C112" s="32"/>
      <c r="D112" s="32"/>
      <c r="E112" s="32"/>
      <c r="F112" s="32"/>
      <c r="G112" s="32"/>
      <c r="H112" s="32"/>
      <c r="I112" s="32"/>
      <c r="J112" s="32">
        <f>+I114</f>
        <v>882.25402799999995</v>
      </c>
      <c r="K112" s="32">
        <f>+J114</f>
        <v>1375.4964488729368</v>
      </c>
      <c r="L112" s="32">
        <f>+K114</f>
        <v>1929.1250247663168</v>
      </c>
      <c r="M112" s="32">
        <f>+L114</f>
        <v>2621.6544645898116</v>
      </c>
      <c r="N112" s="32">
        <f>+M114</f>
        <v>2417.9194630218831</v>
      </c>
    </row>
    <row r="113" spans="2:17" ht="13" customHeight="1">
      <c r="B113" s="187" t="s">
        <v>154</v>
      </c>
      <c r="C113" s="418"/>
      <c r="D113" s="418"/>
      <c r="E113" s="418"/>
      <c r="F113" s="418"/>
      <c r="G113" s="418"/>
      <c r="H113" s="418"/>
      <c r="I113" s="418"/>
      <c r="J113" s="418">
        <f>+J143</f>
        <v>493.24242087293686</v>
      </c>
      <c r="K113" s="418">
        <f>+K143</f>
        <v>553.62857589338</v>
      </c>
      <c r="L113" s="418">
        <f>+L143</f>
        <v>692.52943982349495</v>
      </c>
      <c r="M113" s="418">
        <f>+M143</f>
        <v>-203.73500156792838</v>
      </c>
      <c r="N113" s="418">
        <f>+N143</f>
        <v>692.10348415437761</v>
      </c>
    </row>
    <row r="114" spans="2:17" ht="13" customHeight="1">
      <c r="B114" s="158" t="s">
        <v>155</v>
      </c>
      <c r="C114" s="126"/>
      <c r="I114" s="184">
        <f>-I90</f>
        <v>882.25402799999995</v>
      </c>
      <c r="J114" s="126">
        <f>+SUM(J112:J113)</f>
        <v>1375.4964488729368</v>
      </c>
      <c r="K114" s="126">
        <f>+SUM(K112:K113)</f>
        <v>1929.1250247663168</v>
      </c>
      <c r="L114" s="126">
        <f>+SUM(L112:L113)</f>
        <v>2621.6544645898116</v>
      </c>
      <c r="M114" s="126">
        <f>+SUM(M112:M113)</f>
        <v>2417.9194630218831</v>
      </c>
      <c r="N114" s="126">
        <f>+SUM(N112:N113)</f>
        <v>3110.0229471762605</v>
      </c>
    </row>
    <row r="116" spans="2:17" ht="13" customHeight="1">
      <c r="B116" s="487" t="s">
        <v>156</v>
      </c>
      <c r="C116" s="488"/>
      <c r="D116" s="488"/>
      <c r="E116" s="488"/>
      <c r="F116" s="488"/>
      <c r="G116" s="488"/>
      <c r="H116" s="488"/>
      <c r="I116" s="488"/>
      <c r="J116" s="488"/>
      <c r="K116" s="488"/>
      <c r="L116" s="488"/>
      <c r="M116" s="488"/>
      <c r="N116" s="488"/>
      <c r="O116" s="32"/>
    </row>
    <row r="117" spans="2:17" ht="5" customHeight="1"/>
    <row r="118" spans="2:17" ht="13" customHeight="1">
      <c r="B118" s="8" t="s">
        <v>84</v>
      </c>
      <c r="C118" s="32"/>
      <c r="D118" s="32"/>
      <c r="E118" s="32"/>
      <c r="F118" s="32">
        <f t="shared" ref="F118:N118" si="39">+F21</f>
        <v>491.79895799999991</v>
      </c>
      <c r="G118" s="32">
        <f t="shared" si="39"/>
        <v>368.82105299999989</v>
      </c>
      <c r="H118" s="32">
        <f t="shared" si="39"/>
        <v>579.22004600000014</v>
      </c>
      <c r="I118" s="32">
        <f t="shared" si="39"/>
        <v>774.54687600000022</v>
      </c>
      <c r="J118" s="32">
        <f t="shared" si="39"/>
        <v>994.10637905221984</v>
      </c>
      <c r="K118" s="32">
        <f t="shared" si="39"/>
        <v>1036.0292840025418</v>
      </c>
      <c r="L118" s="32">
        <f t="shared" si="39"/>
        <v>1045.1419906542549</v>
      </c>
      <c r="M118" s="32">
        <f t="shared" si="39"/>
        <v>1185.3327203847291</v>
      </c>
      <c r="N118" s="32">
        <f t="shared" si="39"/>
        <v>1230.7765446771789</v>
      </c>
    </row>
    <row r="119" spans="2:17" ht="13" customHeight="1">
      <c r="B119" s="8" t="s">
        <v>157</v>
      </c>
      <c r="C119" s="32"/>
      <c r="D119" s="32"/>
      <c r="E119" s="32"/>
      <c r="F119" s="32">
        <f t="shared" ref="F119:N119" si="40">+-F118*(F47+F48)</f>
        <v>-137.21190928199997</v>
      </c>
      <c r="G119" s="32">
        <f t="shared" si="40"/>
        <v>-102.90107378699996</v>
      </c>
      <c r="H119" s="32">
        <f t="shared" si="40"/>
        <v>-161.60239283400003</v>
      </c>
      <c r="I119" s="32">
        <f t="shared" si="40"/>
        <v>-216.09857840400005</v>
      </c>
      <c r="J119" s="32">
        <f t="shared" si="40"/>
        <v>-277.35567975556933</v>
      </c>
      <c r="K119" s="32">
        <f t="shared" si="40"/>
        <v>-289.05217023670912</v>
      </c>
      <c r="L119" s="32">
        <f t="shared" si="40"/>
        <v>-291.59461539253709</v>
      </c>
      <c r="M119" s="32">
        <f t="shared" si="40"/>
        <v>-330.70782898733938</v>
      </c>
      <c r="N119" s="32">
        <f t="shared" si="40"/>
        <v>-343.38665596493286</v>
      </c>
    </row>
    <row r="120" spans="2:17" ht="13" customHeight="1">
      <c r="B120" s="12" t="s">
        <v>158</v>
      </c>
      <c r="C120" s="33"/>
      <c r="D120" s="33"/>
      <c r="E120" s="33"/>
      <c r="F120" s="33">
        <f>SUM(F118:F119)</f>
        <v>354.58704871799995</v>
      </c>
      <c r="G120" s="33">
        <f>SUM(G118:G119)</f>
        <v>265.91997921299992</v>
      </c>
      <c r="H120" s="33">
        <f>SUM(H118:H119)</f>
        <v>417.61765316600008</v>
      </c>
      <c r="I120" s="33">
        <f>SUM(I118:I119)</f>
        <v>558.4482975960002</v>
      </c>
      <c r="J120" s="33">
        <f t="shared" ref="J120:N120" si="41">SUM(J118:J119)</f>
        <v>716.75069929665051</v>
      </c>
      <c r="K120" s="33">
        <f t="shared" si="41"/>
        <v>746.97711376583266</v>
      </c>
      <c r="L120" s="33">
        <f t="shared" si="41"/>
        <v>753.54737526171778</v>
      </c>
      <c r="M120" s="33">
        <f t="shared" si="41"/>
        <v>854.62489139738977</v>
      </c>
      <c r="N120" s="33">
        <f t="shared" si="41"/>
        <v>887.38988871224603</v>
      </c>
    </row>
    <row r="121" spans="2:17" ht="13" customHeight="1">
      <c r="B121" s="8" t="s">
        <v>82</v>
      </c>
      <c r="C121" s="32"/>
      <c r="D121" s="32"/>
      <c r="E121" s="32"/>
      <c r="F121" s="32">
        <f t="shared" ref="F121:N121" si="42">-F19</f>
        <v>157.53</v>
      </c>
      <c r="G121" s="32">
        <f t="shared" si="42"/>
        <v>185.3</v>
      </c>
      <c r="H121" s="32">
        <f t="shared" si="42"/>
        <v>208.28</v>
      </c>
      <c r="I121" s="32">
        <f t="shared" si="42"/>
        <v>242.75</v>
      </c>
      <c r="J121" s="32">
        <f t="shared" si="42"/>
        <v>294.1088139069127</v>
      </c>
      <c r="K121" s="32">
        <f t="shared" si="42"/>
        <v>402.8324472129222</v>
      </c>
      <c r="L121" s="32">
        <f t="shared" si="42"/>
        <v>522.70447447389847</v>
      </c>
      <c r="M121" s="32">
        <f t="shared" si="42"/>
        <v>487.44217527772423</v>
      </c>
      <c r="N121" s="32">
        <f t="shared" si="42"/>
        <v>546.70780400347439</v>
      </c>
      <c r="O121" s="128"/>
    </row>
    <row r="122" spans="2:17" ht="13" customHeight="1">
      <c r="B122" s="8" t="s">
        <v>83</v>
      </c>
      <c r="C122" s="32"/>
      <c r="D122" s="32"/>
      <c r="E122" s="32"/>
      <c r="F122" s="32">
        <f t="shared" ref="F122:N122" si="43">-F20</f>
        <v>13.59</v>
      </c>
      <c r="G122" s="32">
        <f t="shared" si="43"/>
        <v>15.67</v>
      </c>
      <c r="H122" s="32">
        <f t="shared" si="43"/>
        <v>38.24</v>
      </c>
      <c r="I122" s="32">
        <f t="shared" si="43"/>
        <v>22.16</v>
      </c>
      <c r="J122" s="32">
        <f t="shared" si="43"/>
        <v>32.205379823978312</v>
      </c>
      <c r="K122" s="32">
        <f t="shared" si="43"/>
        <v>35.971543280386598</v>
      </c>
      <c r="L122" s="32">
        <f t="shared" si="43"/>
        <v>39.196161628203832</v>
      </c>
      <c r="M122" s="32">
        <f t="shared" si="43"/>
        <v>41.819372391561338</v>
      </c>
      <c r="N122" s="32">
        <f t="shared" si="43"/>
        <v>44.437108717016336</v>
      </c>
      <c r="O122" s="128"/>
    </row>
    <row r="123" spans="2:17" ht="13" customHeight="1">
      <c r="B123" s="12" t="s">
        <v>159</v>
      </c>
      <c r="C123" s="33"/>
      <c r="D123" s="33"/>
      <c r="E123" s="33"/>
      <c r="F123" s="33">
        <f>SUM(F120:F122)</f>
        <v>525.70704871800001</v>
      </c>
      <c r="G123" s="33">
        <f>SUM(G120:G122)</f>
        <v>466.88997921299995</v>
      </c>
      <c r="H123" s="33">
        <f>SUM(H120:H122)</f>
        <v>664.13765316600006</v>
      </c>
      <c r="I123" s="33">
        <f>SUM(I120:I122)</f>
        <v>823.35829759600017</v>
      </c>
      <c r="J123" s="33">
        <f t="shared" ref="J123:N123" si="44">SUM(J120:J122)</f>
        <v>1043.0648930275415</v>
      </c>
      <c r="K123" s="33">
        <f t="shared" si="44"/>
        <v>1185.7811042591416</v>
      </c>
      <c r="L123" s="33">
        <f t="shared" si="44"/>
        <v>1315.4480113638201</v>
      </c>
      <c r="M123" s="33">
        <f t="shared" si="44"/>
        <v>1383.8864390666752</v>
      </c>
      <c r="N123" s="33">
        <f t="shared" si="44"/>
        <v>1478.5348014327367</v>
      </c>
      <c r="O123" s="128"/>
    </row>
    <row r="124" spans="2:17" ht="5" customHeight="1">
      <c r="C124" s="32"/>
      <c r="D124" s="32"/>
      <c r="E124" s="32"/>
      <c r="F124" s="32"/>
      <c r="G124" s="32"/>
      <c r="H124" s="32"/>
      <c r="I124" s="32"/>
      <c r="J124" s="32"/>
      <c r="K124" s="32"/>
      <c r="L124" s="32"/>
      <c r="M124" s="32"/>
      <c r="N124" s="32"/>
      <c r="O124" s="128"/>
    </row>
    <row r="125" spans="2:17" ht="13" customHeight="1">
      <c r="B125" s="8" t="s">
        <v>160</v>
      </c>
      <c r="C125" s="32"/>
      <c r="D125" s="32"/>
      <c r="E125" s="32"/>
      <c r="F125" s="32"/>
      <c r="G125" s="32">
        <f t="shared" ref="G125:N125" si="45">-(G71-F71)</f>
        <v>-129.64399500000002</v>
      </c>
      <c r="H125" s="32">
        <f t="shared" si="45"/>
        <v>279.19701600000008</v>
      </c>
      <c r="I125" s="32">
        <f t="shared" si="45"/>
        <v>-269.69703400000003</v>
      </c>
      <c r="J125" s="32">
        <f>-(J71-I71)</f>
        <v>12.757887863424997</v>
      </c>
      <c r="K125" s="32">
        <f t="shared" si="45"/>
        <v>6.4329685490193356</v>
      </c>
      <c r="L125" s="32">
        <f t="shared" si="45"/>
        <v>5.507957541992198</v>
      </c>
      <c r="M125" s="32">
        <f t="shared" si="45"/>
        <v>4.4806956823434234</v>
      </c>
      <c r="N125" s="32">
        <f t="shared" si="45"/>
        <v>4.4713448171305004</v>
      </c>
      <c r="O125" s="128"/>
    </row>
    <row r="126" spans="2:17" ht="13" customHeight="1">
      <c r="B126" s="8" t="s">
        <v>161</v>
      </c>
      <c r="C126" s="32"/>
      <c r="D126" s="32"/>
      <c r="E126" s="32"/>
      <c r="F126" s="32"/>
      <c r="G126" s="32">
        <f>-((G73-F73)+G121)</f>
        <v>-181.74702199999996</v>
      </c>
      <c r="H126" s="32">
        <f>-((H73-G73)+H121)</f>
        <v>-318.61502099999996</v>
      </c>
      <c r="I126" s="32">
        <f>-((I73-H73)+I121)</f>
        <v>-403.91796900000008</v>
      </c>
      <c r="J126" s="32">
        <f>J148*J10</f>
        <v>-386.46455788773977</v>
      </c>
      <c r="K126" s="32">
        <f>K148*K10</f>
        <v>-431.65851936463918</v>
      </c>
      <c r="L126" s="32">
        <f>L148*L10</f>
        <v>-470.35393953844596</v>
      </c>
      <c r="M126" s="32">
        <f>M148*M10</f>
        <v>-501.83246869873602</v>
      </c>
      <c r="N126" s="32">
        <f>N148*N10</f>
        <v>-533.24530460419601</v>
      </c>
      <c r="O126" s="128"/>
    </row>
    <row r="127" spans="2:17" ht="13" customHeight="1">
      <c r="B127" s="8" t="s">
        <v>162</v>
      </c>
      <c r="C127" s="32"/>
      <c r="D127" s="32"/>
      <c r="E127" s="32"/>
      <c r="F127" s="32"/>
      <c r="G127" s="236">
        <f>-(G74-F74)-G122</f>
        <v>-18.587999000000011</v>
      </c>
      <c r="H127" s="236">
        <f>-(H74-G74)-H122</f>
        <v>-1273.8409520000002</v>
      </c>
      <c r="I127" s="236">
        <f>-(I74-H74)-I122</f>
        <v>-38.792079999999856</v>
      </c>
      <c r="J127" s="236">
        <f>J149*J10</f>
        <v>-47.997177057775296</v>
      </c>
      <c r="K127" s="236">
        <f>K149*K10</f>
        <v>-53.610065812192779</v>
      </c>
      <c r="L127" s="236">
        <f>L149*L10</f>
        <v>-58.415864676539648</v>
      </c>
      <c r="M127" s="236">
        <f>M149*M10</f>
        <v>-906.61255024725324</v>
      </c>
      <c r="N127" s="236">
        <f>N149*N10</f>
        <v>-66.2266921453365</v>
      </c>
      <c r="O127" s="128"/>
      <c r="Q127" s="19"/>
    </row>
    <row r="128" spans="2:17" ht="13" customHeight="1">
      <c r="B128" s="12" t="s">
        <v>163</v>
      </c>
      <c r="C128" s="33"/>
      <c r="D128" s="33"/>
      <c r="E128" s="33"/>
      <c r="F128" s="33"/>
      <c r="G128" s="33">
        <f>+SUM(G123:G127)</f>
        <v>136.91096321299995</v>
      </c>
      <c r="H128" s="33">
        <f>+SUM(H123:H127)</f>
        <v>-649.12130383400006</v>
      </c>
      <c r="I128" s="33">
        <f>+SUM(I123:I127)</f>
        <v>110.9512145960002</v>
      </c>
      <c r="J128" s="33">
        <f t="shared" ref="J128:N128" si="46">+SUM(J123:J127)</f>
        <v>621.36104594545134</v>
      </c>
      <c r="K128" s="33">
        <f t="shared" si="46"/>
        <v>706.94548763132877</v>
      </c>
      <c r="L128" s="33">
        <f t="shared" si="46"/>
        <v>792.18616469082679</v>
      </c>
      <c r="M128" s="33">
        <f t="shared" si="46"/>
        <v>-20.077884196970672</v>
      </c>
      <c r="N128" s="33">
        <f t="shared" si="46"/>
        <v>883.53414950033471</v>
      </c>
      <c r="O128" s="128"/>
    </row>
    <row r="129" spans="2:15" ht="5" customHeight="1">
      <c r="C129" s="32"/>
      <c r="D129" s="32"/>
      <c r="E129" s="32"/>
      <c r="F129" s="32"/>
      <c r="G129" s="32"/>
      <c r="H129" s="32"/>
      <c r="I129" s="32"/>
      <c r="J129" s="32"/>
      <c r="K129" s="32"/>
      <c r="L129" s="32"/>
      <c r="M129" s="32"/>
      <c r="N129" s="32"/>
      <c r="O129" s="128"/>
    </row>
    <row r="130" spans="2:15" ht="13" customHeight="1">
      <c r="B130" s="8" t="s">
        <v>164</v>
      </c>
      <c r="C130" s="32"/>
      <c r="D130" s="32"/>
      <c r="E130" s="32"/>
      <c r="F130" s="32"/>
      <c r="G130" s="32">
        <f t="shared" ref="G130:N130" si="47">+G30-G119</f>
        <v>57.74807378699996</v>
      </c>
      <c r="H130" s="32">
        <f t="shared" si="47"/>
        <v>-2.4566131659999826</v>
      </c>
      <c r="I130" s="32">
        <f t="shared" si="47"/>
        <v>75.473578404000051</v>
      </c>
      <c r="J130" s="32">
        <f t="shared" si="47"/>
        <v>83.595839460127934</v>
      </c>
      <c r="K130" s="32">
        <f t="shared" si="47"/>
        <v>87.068004227752738</v>
      </c>
      <c r="L130" s="32">
        <f t="shared" si="47"/>
        <v>88.387653629339468</v>
      </c>
      <c r="M130" s="32">
        <f t="shared" si="47"/>
        <v>99.49251460578202</v>
      </c>
      <c r="N130" s="32">
        <f t="shared" si="47"/>
        <v>103.20676221448252</v>
      </c>
      <c r="O130" s="128"/>
    </row>
    <row r="131" spans="2:15" ht="13" customHeight="1">
      <c r="B131" s="8" t="s">
        <v>85</v>
      </c>
      <c r="C131" s="32"/>
      <c r="D131" s="32"/>
      <c r="E131" s="32" t="s">
        <v>165</v>
      </c>
      <c r="F131" s="32"/>
      <c r="G131" s="32">
        <f t="shared" ref="G131:I134" si="48">+G24</f>
        <v>0.75900000000000001</v>
      </c>
      <c r="H131" s="32">
        <f t="shared" si="48"/>
        <v>3.0609999999999999</v>
      </c>
      <c r="I131" s="32">
        <f t="shared" si="48"/>
        <v>3.5369999999999999</v>
      </c>
      <c r="J131" s="65">
        <f>+I131</f>
        <v>3.5369999999999999</v>
      </c>
      <c r="K131" s="65">
        <f t="shared" ref="K131:N131" si="49">+J131</f>
        <v>3.5369999999999999</v>
      </c>
      <c r="L131" s="65">
        <f t="shared" si="49"/>
        <v>3.5369999999999999</v>
      </c>
      <c r="M131" s="65">
        <f t="shared" si="49"/>
        <v>3.5369999999999999</v>
      </c>
      <c r="N131" s="65">
        <f t="shared" si="49"/>
        <v>3.5369999999999999</v>
      </c>
      <c r="O131" s="128"/>
    </row>
    <row r="132" spans="2:15" ht="13" customHeight="1">
      <c r="B132" s="8" t="s">
        <v>86</v>
      </c>
      <c r="C132" s="32"/>
      <c r="D132" s="32"/>
      <c r="E132" s="32"/>
      <c r="F132" s="32"/>
      <c r="G132" s="32">
        <f t="shared" si="48"/>
        <v>-24.061001000000001</v>
      </c>
      <c r="H132" s="32">
        <f t="shared" si="48"/>
        <v>-24.669001000000002</v>
      </c>
      <c r="I132" s="32">
        <f t="shared" si="48"/>
        <v>-30.753</v>
      </c>
      <c r="J132" s="32">
        <f>+J25</f>
        <v>-28.768424558561524</v>
      </c>
      <c r="K132" s="32">
        <f>+K25</f>
        <v>-29.610833648143746</v>
      </c>
      <c r="L132" s="32">
        <f>+L25</f>
        <v>-32.147743159615032</v>
      </c>
      <c r="M132" s="32">
        <f>+M25</f>
        <v>-32.856010065721556</v>
      </c>
      <c r="N132" s="32">
        <f>+N25</f>
        <v>-33.56279887359441</v>
      </c>
      <c r="O132" s="128"/>
    </row>
    <row r="133" spans="2:15" ht="13" customHeight="1">
      <c r="B133" s="8" t="s">
        <v>28</v>
      </c>
      <c r="C133" s="32"/>
      <c r="D133" s="32"/>
      <c r="E133" s="32"/>
      <c r="F133" s="32"/>
      <c r="G133" s="32">
        <f t="shared" si="48"/>
        <v>0</v>
      </c>
      <c r="H133" s="32">
        <f t="shared" si="48"/>
        <v>0</v>
      </c>
      <c r="I133" s="32">
        <f t="shared" si="48"/>
        <v>0</v>
      </c>
      <c r="J133" s="32">
        <f>+I133</f>
        <v>0</v>
      </c>
      <c r="K133" s="32">
        <f t="shared" ref="K133:N133" si="50">+J133</f>
        <v>0</v>
      </c>
      <c r="L133" s="32">
        <f t="shared" si="50"/>
        <v>0</v>
      </c>
      <c r="M133" s="32">
        <f t="shared" si="50"/>
        <v>0</v>
      </c>
      <c r="N133" s="32">
        <f t="shared" si="50"/>
        <v>0</v>
      </c>
      <c r="O133" s="128"/>
    </row>
    <row r="134" spans="2:15" ht="13" customHeight="1">
      <c r="B134" s="8" t="s">
        <v>87</v>
      </c>
      <c r="C134" s="32"/>
      <c r="D134" s="32"/>
      <c r="E134" s="32"/>
      <c r="F134" s="32"/>
      <c r="G134" s="32">
        <f t="shared" si="48"/>
        <v>0</v>
      </c>
      <c r="H134" s="32">
        <f t="shared" si="48"/>
        <v>0</v>
      </c>
      <c r="I134" s="32">
        <f t="shared" si="48"/>
        <v>0</v>
      </c>
      <c r="J134" s="32">
        <v>0</v>
      </c>
      <c r="K134" s="32">
        <v>0</v>
      </c>
      <c r="L134" s="32">
        <v>0</v>
      </c>
      <c r="M134" s="32">
        <v>0</v>
      </c>
      <c r="N134" s="32">
        <v>0</v>
      </c>
      <c r="O134" s="128"/>
    </row>
    <row r="135" spans="2:15" ht="13" customHeight="1">
      <c r="B135" s="8" t="s">
        <v>166</v>
      </c>
      <c r="C135" s="32"/>
      <c r="D135" s="32"/>
      <c r="E135" s="32"/>
      <c r="F135" s="32"/>
      <c r="G135" s="32">
        <f t="shared" ref="G135:N135" si="51">+(G89-F89)</f>
        <v>-25.592008999999962</v>
      </c>
      <c r="H135" s="32">
        <f t="shared" si="51"/>
        <v>200.677007</v>
      </c>
      <c r="I135" s="32">
        <f t="shared" si="51"/>
        <v>-1.1900140000000192</v>
      </c>
      <c r="J135" s="32">
        <f t="shared" si="51"/>
        <v>46.051494285384138</v>
      </c>
      <c r="K135" s="32">
        <f t="shared" si="51"/>
        <v>28.080302986074116</v>
      </c>
      <c r="L135" s="32">
        <f t="shared" si="51"/>
        <v>84.563650382376295</v>
      </c>
      <c r="M135" s="32">
        <f t="shared" si="51"/>
        <v>23.60889687021745</v>
      </c>
      <c r="N135" s="32">
        <f t="shared" si="51"/>
        <v>23.559626929094975</v>
      </c>
      <c r="O135" s="128"/>
    </row>
    <row r="136" spans="2:15" ht="13" customHeight="1">
      <c r="B136" s="8" t="s">
        <v>167</v>
      </c>
      <c r="C136" s="32"/>
      <c r="D136" s="32"/>
      <c r="E136" s="32"/>
      <c r="F136" s="32"/>
      <c r="G136" s="32">
        <f t="shared" ref="G136:N136" si="52">-(G82-F82)</f>
        <v>-1.7429979999999929</v>
      </c>
      <c r="H136" s="32">
        <f t="shared" si="52"/>
        <v>3.3249979999999972</v>
      </c>
      <c r="I136" s="32">
        <f t="shared" si="52"/>
        <v>-4.9689970000000017</v>
      </c>
      <c r="J136" s="32">
        <f t="shared" si="52"/>
        <v>0</v>
      </c>
      <c r="K136" s="32">
        <f t="shared" si="52"/>
        <v>0</v>
      </c>
      <c r="L136" s="32">
        <f t="shared" si="52"/>
        <v>0</v>
      </c>
      <c r="M136" s="32">
        <f t="shared" si="52"/>
        <v>0</v>
      </c>
      <c r="N136" s="32">
        <f t="shared" si="52"/>
        <v>0</v>
      </c>
      <c r="O136" s="128"/>
    </row>
    <row r="137" spans="2:15" ht="13" customHeight="1">
      <c r="B137" s="12" t="s">
        <v>168</v>
      </c>
      <c r="C137" s="33"/>
      <c r="D137" s="33"/>
      <c r="E137" s="33"/>
      <c r="F137" s="33"/>
      <c r="G137" s="33">
        <f>+SUM(G128:G136)</f>
        <v>144.02202899999992</v>
      </c>
      <c r="H137" s="33">
        <f>+SUM(H128:H136)</f>
        <v>-469.18391300000002</v>
      </c>
      <c r="I137" s="33">
        <f>+SUM(I128:I136)</f>
        <v>153.04978200000022</v>
      </c>
      <c r="J137" s="33">
        <f t="shared" ref="J137:N137" si="53">+SUM(J128:J136)</f>
        <v>725.77695513240189</v>
      </c>
      <c r="K137" s="33">
        <f t="shared" si="53"/>
        <v>796.01996119701198</v>
      </c>
      <c r="L137" s="33">
        <f t="shared" si="53"/>
        <v>936.52672554292758</v>
      </c>
      <c r="M137" s="33">
        <f t="shared" si="53"/>
        <v>73.704517213307241</v>
      </c>
      <c r="N137" s="33">
        <f t="shared" si="53"/>
        <v>980.27473977031786</v>
      </c>
      <c r="O137" s="128"/>
    </row>
    <row r="138" spans="2:15" ht="5" customHeight="1">
      <c r="C138" s="32"/>
      <c r="D138" s="32"/>
      <c r="E138" s="32"/>
      <c r="F138" s="32"/>
      <c r="G138" s="32"/>
      <c r="H138" s="32"/>
      <c r="I138" s="32"/>
      <c r="J138" s="32"/>
      <c r="K138" s="32"/>
      <c r="L138" s="32"/>
      <c r="M138" s="32"/>
      <c r="N138" s="32"/>
      <c r="O138" s="128"/>
    </row>
    <row r="139" spans="2:15" ht="13" customHeight="1">
      <c r="B139" s="8" t="s">
        <v>169</v>
      </c>
      <c r="C139" s="32"/>
      <c r="D139" s="32"/>
      <c r="E139" s="32"/>
      <c r="F139" s="32"/>
      <c r="G139" s="32">
        <f t="shared" ref="G139:N139" si="54">-G34</f>
        <v>0</v>
      </c>
      <c r="H139" s="32">
        <f t="shared" si="54"/>
        <v>-120.68</v>
      </c>
      <c r="I139" s="32">
        <f t="shared" si="54"/>
        <v>-160.96</v>
      </c>
      <c r="J139" s="32">
        <f t="shared" si="54"/>
        <v>-232.53453425946503</v>
      </c>
      <c r="K139" s="32">
        <f t="shared" si="54"/>
        <v>-242.39138530363252</v>
      </c>
      <c r="L139" s="32">
        <f t="shared" si="54"/>
        <v>-243.99728571943263</v>
      </c>
      <c r="M139" s="32">
        <f t="shared" si="54"/>
        <v>-277.43951878123499</v>
      </c>
      <c r="N139" s="32">
        <f t="shared" si="54"/>
        <v>-288.17125561594025</v>
      </c>
      <c r="O139" s="128"/>
    </row>
    <row r="140" spans="2:15" ht="13" customHeight="1">
      <c r="B140" s="8" t="s">
        <v>170</v>
      </c>
      <c r="C140" s="32"/>
      <c r="D140" s="32"/>
      <c r="E140" s="32"/>
      <c r="F140" s="32"/>
      <c r="G140" s="32">
        <f t="shared" ref="G140:N140" si="55">+G95-F95-G31+G34</f>
        <v>20.393945999999914</v>
      </c>
      <c r="H140" s="32">
        <f t="shared" si="55"/>
        <v>599.06496900000025</v>
      </c>
      <c r="I140" s="32">
        <f t="shared" si="55"/>
        <v>-42.561825000000482</v>
      </c>
      <c r="J140" s="32">
        <f t="shared" si="55"/>
        <v>0</v>
      </c>
      <c r="K140" s="32">
        <f t="shared" si="55"/>
        <v>5.4001247917767614E-13</v>
      </c>
      <c r="L140" s="32">
        <f t="shared" si="55"/>
        <v>0</v>
      </c>
      <c r="M140" s="32">
        <f t="shared" si="55"/>
        <v>-6.2527760746888816E-13</v>
      </c>
      <c r="N140" s="32">
        <f t="shared" si="55"/>
        <v>0</v>
      </c>
      <c r="O140" s="128"/>
    </row>
    <row r="141" spans="2:15" ht="13" customHeight="1">
      <c r="B141" s="8" t="s">
        <v>171</v>
      </c>
      <c r="C141" s="32"/>
      <c r="D141" s="32"/>
      <c r="E141" s="32"/>
      <c r="F141" s="32"/>
      <c r="G141" s="32">
        <f t="shared" ref="G141:N141" si="56">+G96-F96</f>
        <v>8.9999999999999941E-3</v>
      </c>
      <c r="H141" s="32">
        <f t="shared" si="56"/>
        <v>1.9000000000000003E-2</v>
      </c>
      <c r="I141" s="32">
        <f t="shared" si="56"/>
        <v>8.0000000000000071E-3</v>
      </c>
      <c r="J141" s="32">
        <f t="shared" si="56"/>
        <v>0</v>
      </c>
      <c r="K141" s="32">
        <f t="shared" si="56"/>
        <v>0</v>
      </c>
      <c r="L141" s="32">
        <f t="shared" si="56"/>
        <v>0</v>
      </c>
      <c r="M141" s="32">
        <f t="shared" si="56"/>
        <v>0</v>
      </c>
      <c r="N141" s="32">
        <f t="shared" si="56"/>
        <v>0</v>
      </c>
      <c r="O141" s="128"/>
    </row>
    <row r="142" spans="2:15" ht="5" customHeight="1">
      <c r="C142" s="32"/>
      <c r="D142" s="32"/>
      <c r="E142" s="32"/>
      <c r="F142" s="32"/>
      <c r="G142" s="32"/>
      <c r="H142" s="32"/>
      <c r="I142" s="32"/>
      <c r="J142" s="32"/>
      <c r="K142" s="32"/>
      <c r="L142" s="32"/>
      <c r="M142" s="32"/>
      <c r="N142" s="32"/>
      <c r="O142" s="128"/>
    </row>
    <row r="143" spans="2:15" ht="13" customHeight="1">
      <c r="B143" s="186" t="s">
        <v>172</v>
      </c>
      <c r="C143" s="299"/>
      <c r="D143" s="299"/>
      <c r="E143" s="299"/>
      <c r="F143" s="299"/>
      <c r="G143" s="299">
        <f>+SUM(G137:G141)</f>
        <v>164.42497499999982</v>
      </c>
      <c r="H143" s="299">
        <f>+SUM(H137:H141)</f>
        <v>9.2200560000002216</v>
      </c>
      <c r="I143" s="299">
        <f>+SUM(I137:I141)</f>
        <v>-50.464043000000267</v>
      </c>
      <c r="J143" s="299">
        <f>+SUM(J137:J141)</f>
        <v>493.24242087293686</v>
      </c>
      <c r="K143" s="299">
        <f t="shared" ref="K143:N143" si="57">+SUM(K137:K141)</f>
        <v>553.62857589338</v>
      </c>
      <c r="L143" s="299">
        <f>+SUM(L137:L141)</f>
        <v>692.52943982349495</v>
      </c>
      <c r="M143" s="299">
        <f t="shared" si="57"/>
        <v>-203.73500156792838</v>
      </c>
      <c r="N143" s="299">
        <f t="shared" si="57"/>
        <v>692.10348415437761</v>
      </c>
      <c r="O143" s="128"/>
    </row>
    <row r="144" spans="2:15" ht="13" customHeight="1">
      <c r="B144" s="135" t="s">
        <v>145</v>
      </c>
      <c r="C144" s="133"/>
      <c r="D144" s="133"/>
      <c r="E144" s="133"/>
      <c r="F144" s="133"/>
      <c r="G144" s="219">
        <f t="shared" ref="G144:N144" si="58">+G143+(G90-F90)</f>
        <v>-1.3000000166130121E-5</v>
      </c>
      <c r="H144" s="219">
        <f t="shared" si="58"/>
        <v>2.400000016145043E-5</v>
      </c>
      <c r="I144" s="219">
        <f t="shared" si="58"/>
        <v>-5.3000000185932095E-5</v>
      </c>
      <c r="J144" s="219">
        <f t="shared" si="58"/>
        <v>0</v>
      </c>
      <c r="K144" s="219">
        <f t="shared" si="58"/>
        <v>0</v>
      </c>
      <c r="L144" s="219">
        <f t="shared" si="58"/>
        <v>0</v>
      </c>
      <c r="M144" s="219">
        <f t="shared" si="58"/>
        <v>0</v>
      </c>
      <c r="N144" s="219">
        <f t="shared" si="58"/>
        <v>0</v>
      </c>
    </row>
    <row r="145" spans="1:17" ht="13" customHeight="1">
      <c r="B145" s="135"/>
      <c r="C145" s="133"/>
      <c r="D145" s="133"/>
      <c r="E145" s="133"/>
      <c r="F145" s="133"/>
      <c r="G145" s="219"/>
      <c r="H145" s="219"/>
      <c r="I145" s="219"/>
      <c r="J145" s="219"/>
      <c r="K145" s="219"/>
      <c r="L145" s="219"/>
      <c r="M145" s="219"/>
      <c r="N145" s="219"/>
    </row>
    <row r="146" spans="1:17" ht="13" customHeight="1">
      <c r="B146" s="487" t="s">
        <v>173</v>
      </c>
      <c r="C146" s="487"/>
      <c r="D146" s="487"/>
      <c r="E146" s="487"/>
      <c r="F146" s="487"/>
      <c r="G146" s="487"/>
      <c r="H146" s="487"/>
      <c r="I146" s="487"/>
      <c r="J146" s="487"/>
      <c r="K146" s="487"/>
      <c r="L146" s="487"/>
      <c r="M146" s="487"/>
      <c r="N146" s="487"/>
    </row>
    <row r="147" spans="1:17" ht="5.25" customHeight="1">
      <c r="B147" s="256"/>
      <c r="C147" s="133"/>
      <c r="D147" s="133"/>
      <c r="E147" s="133"/>
      <c r="F147" s="133"/>
      <c r="G147" s="133"/>
      <c r="H147" s="133"/>
      <c r="I147" s="133"/>
      <c r="J147" s="133"/>
      <c r="K147" s="133"/>
      <c r="L147" s="133"/>
      <c r="M147" s="133"/>
      <c r="N147" s="133"/>
    </row>
    <row r="148" spans="1:17" ht="13" customHeight="1">
      <c r="B148" s="8" t="s">
        <v>174</v>
      </c>
      <c r="C148" s="32"/>
      <c r="D148" s="32"/>
      <c r="E148" s="32"/>
      <c r="F148" s="32"/>
      <c r="G148" s="415">
        <f>G126/G$10</f>
        <v>-0.12617736676299071</v>
      </c>
      <c r="H148" s="415">
        <f>H126/H10</f>
        <v>-0.15571797548589422</v>
      </c>
      <c r="I148" s="415">
        <f>I126/I10</f>
        <v>-0.15518058220067785</v>
      </c>
      <c r="J148" s="416">
        <v>-0.12</v>
      </c>
      <c r="K148" s="415">
        <v>-0.12</v>
      </c>
      <c r="L148" s="415">
        <v>-0.12</v>
      </c>
      <c r="M148" s="415">
        <v>-0.12</v>
      </c>
      <c r="N148" s="415">
        <v>-0.12</v>
      </c>
      <c r="O148" s="32"/>
    </row>
    <row r="149" spans="1:17" ht="13" customHeight="1">
      <c r="B149" s="8" t="s">
        <v>175</v>
      </c>
      <c r="C149" s="32"/>
      <c r="D149" s="32"/>
      <c r="E149" s="32"/>
      <c r="F149" s="32"/>
      <c r="G149" s="415">
        <f>G127/G$10</f>
        <v>-1.2904666835273408E-2</v>
      </c>
      <c r="H149" s="415">
        <f>H127/H$10</f>
        <v>-0.622569311120031</v>
      </c>
      <c r="I149" s="415">
        <f t="shared" ref="I149" si="59">I127/I$10</f>
        <v>-1.4903465607332878E-2</v>
      </c>
      <c r="J149" s="416">
        <f>I149</f>
        <v>-1.4903465607332878E-2</v>
      </c>
      <c r="K149" s="415">
        <f>J149</f>
        <v>-1.4903465607332878E-2</v>
      </c>
      <c r="L149" s="415">
        <f>K149</f>
        <v>-1.4903465607332878E-2</v>
      </c>
      <c r="M149" s="415">
        <f>AVERAGE($G$149:$I$149)</f>
        <v>-0.21679248118754577</v>
      </c>
      <c r="N149" s="415">
        <f>L149</f>
        <v>-1.4903465607332878E-2</v>
      </c>
      <c r="O149" s="32"/>
    </row>
    <row r="150" spans="1:17" ht="13" customHeight="1">
      <c r="A150" s="159"/>
      <c r="B150" s="158"/>
      <c r="C150" s="126"/>
      <c r="I150" s="184"/>
      <c r="J150" s="126"/>
      <c r="K150" s="126"/>
      <c r="L150" s="126"/>
      <c r="M150" s="126"/>
      <c r="N150" s="126"/>
      <c r="O150" s="126"/>
    </row>
    <row r="151" spans="1:17" ht="13" customHeight="1">
      <c r="B151" s="487" t="s">
        <v>176</v>
      </c>
      <c r="C151" s="488"/>
      <c r="D151" s="488"/>
      <c r="E151" s="488"/>
      <c r="F151" s="488"/>
      <c r="G151" s="488"/>
      <c r="H151" s="488"/>
      <c r="I151" s="488"/>
      <c r="J151" s="488"/>
      <c r="K151" s="488"/>
      <c r="L151" s="488"/>
      <c r="M151" s="488"/>
      <c r="N151" s="488"/>
    </row>
    <row r="152" spans="1:17" ht="5" customHeight="1"/>
    <row r="153" spans="1:17" ht="13" customHeight="1">
      <c r="B153" s="37" t="s">
        <v>90</v>
      </c>
      <c r="C153" s="182"/>
      <c r="D153" s="182"/>
      <c r="E153" s="182"/>
      <c r="F153" s="182"/>
      <c r="G153" s="183">
        <f t="shared" ref="G153:N153" si="60">+G31</f>
        <v>300.36605199999985</v>
      </c>
      <c r="H153" s="183">
        <f t="shared" si="60"/>
        <v>393.55303900000007</v>
      </c>
      <c r="I153" s="183">
        <f t="shared" si="60"/>
        <v>606.70587600000022</v>
      </c>
      <c r="J153" s="228">
        <f t="shared" si="60"/>
        <v>775.11511419821682</v>
      </c>
      <c r="K153" s="228">
        <f t="shared" si="60"/>
        <v>807.97128434544175</v>
      </c>
      <c r="L153" s="228">
        <f t="shared" si="60"/>
        <v>813.32428573144216</v>
      </c>
      <c r="M153" s="228">
        <f t="shared" si="60"/>
        <v>924.7983959374501</v>
      </c>
      <c r="N153" s="228">
        <f t="shared" si="60"/>
        <v>960.57085205313422</v>
      </c>
    </row>
    <row r="154" spans="1:17" ht="13" customHeight="1">
      <c r="B154" s="26" t="s">
        <v>177</v>
      </c>
      <c r="G154" s="19">
        <f t="shared" ref="G154:N154" si="61">+G121+G122</f>
        <v>200.97</v>
      </c>
      <c r="H154" s="19">
        <f t="shared" si="61"/>
        <v>246.52</v>
      </c>
      <c r="I154" s="19">
        <f t="shared" si="61"/>
        <v>264.91000000000003</v>
      </c>
      <c r="J154" s="207">
        <f t="shared" si="61"/>
        <v>326.31419373089102</v>
      </c>
      <c r="K154" s="207">
        <f t="shared" si="61"/>
        <v>438.80399049330879</v>
      </c>
      <c r="L154" s="207">
        <f t="shared" si="61"/>
        <v>561.90063610210234</v>
      </c>
      <c r="M154" s="207">
        <f t="shared" si="61"/>
        <v>529.26154766928562</v>
      </c>
      <c r="N154" s="207">
        <f t="shared" si="61"/>
        <v>591.14491272049077</v>
      </c>
    </row>
    <row r="155" spans="1:17" ht="13" customHeight="1">
      <c r="B155" s="26" t="s">
        <v>178</v>
      </c>
      <c r="G155" s="19">
        <f t="shared" ref="G155:N155" si="62">-G131-G132</f>
        <v>23.302001000000001</v>
      </c>
      <c r="H155" s="19">
        <f t="shared" si="62"/>
        <v>21.608001000000002</v>
      </c>
      <c r="I155" s="19">
        <f t="shared" si="62"/>
        <v>27.216000000000001</v>
      </c>
      <c r="J155" s="19">
        <f t="shared" si="62"/>
        <v>25.231424558561525</v>
      </c>
      <c r="K155" s="19">
        <f t="shared" si="62"/>
        <v>26.073833648143747</v>
      </c>
      <c r="L155" s="19">
        <f t="shared" si="62"/>
        <v>28.610743159615033</v>
      </c>
      <c r="M155" s="19">
        <f t="shared" si="62"/>
        <v>29.319010065721557</v>
      </c>
      <c r="N155" s="19">
        <f t="shared" si="62"/>
        <v>30.025798873594411</v>
      </c>
    </row>
    <row r="156" spans="1:17" ht="13" customHeight="1">
      <c r="B156" s="26" t="s">
        <v>179</v>
      </c>
      <c r="G156" s="19">
        <f t="shared" ref="G156:N156" si="63">-G134</f>
        <v>0</v>
      </c>
      <c r="H156" s="19">
        <f t="shared" si="63"/>
        <v>0</v>
      </c>
      <c r="I156" s="19">
        <f t="shared" si="63"/>
        <v>0</v>
      </c>
      <c r="J156" s="19">
        <f t="shared" si="63"/>
        <v>0</v>
      </c>
      <c r="K156" s="19">
        <f t="shared" si="63"/>
        <v>0</v>
      </c>
      <c r="L156" s="19">
        <f t="shared" si="63"/>
        <v>0</v>
      </c>
      <c r="M156" s="19">
        <f t="shared" si="63"/>
        <v>0</v>
      </c>
      <c r="N156" s="19">
        <f t="shared" si="63"/>
        <v>0</v>
      </c>
    </row>
    <row r="157" spans="1:17" ht="13" customHeight="1">
      <c r="B157" s="26" t="s">
        <v>180</v>
      </c>
      <c r="G157" s="19">
        <f t="shared" ref="G157:N157" si="64">-G133</f>
        <v>0</v>
      </c>
      <c r="H157" s="19">
        <f t="shared" si="64"/>
        <v>0</v>
      </c>
      <c r="I157" s="19">
        <f t="shared" si="64"/>
        <v>0</v>
      </c>
      <c r="J157" s="19">
        <f t="shared" si="64"/>
        <v>0</v>
      </c>
      <c r="K157" s="19">
        <f t="shared" si="64"/>
        <v>0</v>
      </c>
      <c r="L157" s="19">
        <f t="shared" si="64"/>
        <v>0</v>
      </c>
      <c r="M157" s="19">
        <f t="shared" si="64"/>
        <v>0</v>
      </c>
      <c r="N157" s="19">
        <f t="shared" si="64"/>
        <v>0</v>
      </c>
    </row>
    <row r="158" spans="1:17" ht="13" customHeight="1">
      <c r="B158" s="26" t="s">
        <v>181</v>
      </c>
      <c r="G158" s="32">
        <f t="shared" ref="G158:N158" si="65">-G130</f>
        <v>-57.74807378699996</v>
      </c>
      <c r="H158" s="32">
        <f t="shared" si="65"/>
        <v>2.4566131659999826</v>
      </c>
      <c r="I158" s="32">
        <f t="shared" si="65"/>
        <v>-75.473578404000051</v>
      </c>
      <c r="J158" s="32">
        <f t="shared" si="65"/>
        <v>-83.595839460127934</v>
      </c>
      <c r="K158" s="32">
        <f t="shared" si="65"/>
        <v>-87.068004227752738</v>
      </c>
      <c r="L158" s="32">
        <f t="shared" si="65"/>
        <v>-88.387653629339468</v>
      </c>
      <c r="M158" s="32">
        <f t="shared" si="65"/>
        <v>-99.49251460578202</v>
      </c>
      <c r="N158" s="32">
        <f t="shared" si="65"/>
        <v>-103.20676221448252</v>
      </c>
    </row>
    <row r="159" spans="1:17" ht="13" customHeight="1">
      <c r="B159" s="8" t="s">
        <v>182</v>
      </c>
      <c r="C159" s="32"/>
      <c r="D159" s="32"/>
      <c r="E159" s="32"/>
      <c r="F159" s="32"/>
      <c r="G159" s="32">
        <f t="shared" ref="G159:N159" si="66">+G125</f>
        <v>-129.64399500000002</v>
      </c>
      <c r="H159" s="32">
        <f t="shared" si="66"/>
        <v>279.19701600000008</v>
      </c>
      <c r="I159" s="32">
        <f t="shared" si="66"/>
        <v>-269.69703400000003</v>
      </c>
      <c r="J159" s="32">
        <f t="shared" si="66"/>
        <v>12.757887863424997</v>
      </c>
      <c r="K159" s="32">
        <f t="shared" si="66"/>
        <v>6.4329685490193356</v>
      </c>
      <c r="L159" s="32">
        <f t="shared" si="66"/>
        <v>5.507957541992198</v>
      </c>
      <c r="M159" s="32">
        <f t="shared" si="66"/>
        <v>4.4806956823434234</v>
      </c>
      <c r="N159" s="32">
        <f t="shared" si="66"/>
        <v>4.4713448171305004</v>
      </c>
    </row>
    <row r="160" spans="1:17" ht="13" customHeight="1">
      <c r="B160" s="8" t="s">
        <v>183</v>
      </c>
      <c r="C160" s="32"/>
      <c r="D160" s="32"/>
      <c r="E160" s="32"/>
      <c r="F160" s="32"/>
      <c r="G160" s="32">
        <f t="shared" ref="G160:N160" si="67">+G127+G126</f>
        <v>-200.33502099999998</v>
      </c>
      <c r="H160" s="32">
        <f t="shared" si="67"/>
        <v>-1592.4559730000001</v>
      </c>
      <c r="I160" s="32">
        <f t="shared" si="67"/>
        <v>-442.71004899999991</v>
      </c>
      <c r="J160" s="32">
        <f t="shared" si="67"/>
        <v>-434.46173494551505</v>
      </c>
      <c r="K160" s="32">
        <f t="shared" si="67"/>
        <v>-485.26858517683195</v>
      </c>
      <c r="L160" s="32">
        <f t="shared" si="67"/>
        <v>-528.76980421498558</v>
      </c>
      <c r="M160" s="32">
        <f t="shared" si="67"/>
        <v>-1408.4450189459892</v>
      </c>
      <c r="N160" s="32">
        <f t="shared" si="67"/>
        <v>-599.47199674953254</v>
      </c>
      <c r="Q160" s="19"/>
    </row>
    <row r="161" spans="2:15" ht="13" customHeight="1">
      <c r="B161" s="12" t="s">
        <v>184</v>
      </c>
      <c r="C161" s="33"/>
      <c r="D161" s="33"/>
      <c r="E161" s="33"/>
      <c r="F161" s="33"/>
      <c r="G161" s="33">
        <f>SUM(G153:G160)</f>
        <v>136.91096321299995</v>
      </c>
      <c r="H161" s="33">
        <f>SUM(H153:H160)</f>
        <v>-649.12130383399983</v>
      </c>
      <c r="I161" s="33">
        <f>SUM(I153:I160)</f>
        <v>110.95121459600034</v>
      </c>
      <c r="J161" s="33">
        <f>SUM(J153:J160)</f>
        <v>621.36104594545122</v>
      </c>
      <c r="K161" s="33">
        <f>SUM(K153:K160)</f>
        <v>706.94548763132912</v>
      </c>
      <c r="L161" s="33">
        <f t="shared" ref="L161:N161" si="68">SUM(L153:L160)</f>
        <v>792.18616469082701</v>
      </c>
      <c r="M161" s="33">
        <f t="shared" si="68"/>
        <v>-20.077884196970444</v>
      </c>
      <c r="N161" s="33">
        <f t="shared" si="68"/>
        <v>883.53414950033471</v>
      </c>
    </row>
    <row r="162" spans="2:15" ht="13" customHeight="1">
      <c r="B162" s="13" t="s">
        <v>145</v>
      </c>
      <c r="C162" s="181"/>
      <c r="D162" s="181"/>
      <c r="E162" s="181"/>
      <c r="F162" s="181"/>
      <c r="G162" s="124">
        <f t="shared" ref="G162:N162" si="69">+G161-G128</f>
        <v>0</v>
      </c>
      <c r="H162" s="124">
        <f t="shared" si="69"/>
        <v>0</v>
      </c>
      <c r="I162" s="124">
        <f t="shared" si="69"/>
        <v>1.4210854715202004E-13</v>
      </c>
      <c r="J162" s="124">
        <f t="shared" si="69"/>
        <v>0</v>
      </c>
      <c r="K162" s="124">
        <f t="shared" si="69"/>
        <v>0</v>
      </c>
      <c r="L162" s="124">
        <f t="shared" si="69"/>
        <v>0</v>
      </c>
      <c r="M162" s="124">
        <f t="shared" si="69"/>
        <v>2.2737367544323206E-13</v>
      </c>
      <c r="N162" s="124">
        <f t="shared" si="69"/>
        <v>0</v>
      </c>
    </row>
    <row r="163" spans="2:15" ht="13" customHeight="1">
      <c r="J163" s="235"/>
      <c r="O163" s="128"/>
    </row>
    <row r="164" spans="2:15" ht="13" customHeight="1">
      <c r="B164" s="37" t="s">
        <v>90</v>
      </c>
      <c r="C164" s="182"/>
      <c r="D164" s="182"/>
      <c r="E164" s="182"/>
      <c r="F164" s="182"/>
      <c r="G164" s="183">
        <f t="shared" ref="G164:I165" si="70">+G153</f>
        <v>300.36605199999985</v>
      </c>
      <c r="H164" s="183">
        <f t="shared" si="70"/>
        <v>393.55303900000007</v>
      </c>
      <c r="I164" s="183">
        <f t="shared" si="70"/>
        <v>606.70587600000022</v>
      </c>
      <c r="O164" s="128"/>
    </row>
    <row r="165" spans="2:15" ht="13" customHeight="1">
      <c r="B165" s="26" t="s">
        <v>177</v>
      </c>
      <c r="G165" s="19">
        <f t="shared" si="70"/>
        <v>200.97</v>
      </c>
      <c r="H165" s="19">
        <f t="shared" si="70"/>
        <v>246.52</v>
      </c>
      <c r="I165" s="19">
        <f t="shared" si="70"/>
        <v>264.91000000000003</v>
      </c>
      <c r="O165" s="128"/>
    </row>
    <row r="166" spans="2:15" ht="13" customHeight="1">
      <c r="B166" s="8" t="s">
        <v>182</v>
      </c>
      <c r="G166" s="32">
        <f>+G125</f>
        <v>-129.64399500000002</v>
      </c>
      <c r="H166" s="32">
        <f>+H125</f>
        <v>279.19701600000008</v>
      </c>
      <c r="I166" s="32">
        <f>+I125</f>
        <v>-269.69703400000003</v>
      </c>
      <c r="O166" s="128"/>
    </row>
    <row r="167" spans="2:15" ht="13" customHeight="1">
      <c r="B167" s="8" t="s">
        <v>183</v>
      </c>
      <c r="G167" s="32">
        <f>+G160</f>
        <v>-200.33502099999998</v>
      </c>
      <c r="H167" s="32">
        <f>+H160</f>
        <v>-1592.4559730000001</v>
      </c>
      <c r="I167" s="32">
        <f>+I160</f>
        <v>-442.71004899999991</v>
      </c>
      <c r="O167" s="128"/>
    </row>
    <row r="168" spans="2:15" ht="13" customHeight="1">
      <c r="B168" s="8" t="s">
        <v>166</v>
      </c>
      <c r="G168" s="32">
        <f t="shared" ref="G168:I169" si="71">+G135</f>
        <v>-25.592008999999962</v>
      </c>
      <c r="H168" s="32">
        <f t="shared" si="71"/>
        <v>200.677007</v>
      </c>
      <c r="I168" s="32">
        <f t="shared" si="71"/>
        <v>-1.1900140000000192</v>
      </c>
      <c r="O168" s="128"/>
    </row>
    <row r="169" spans="2:15" ht="13" customHeight="1">
      <c r="B169" s="8" t="s">
        <v>167</v>
      </c>
      <c r="G169" s="32">
        <f t="shared" si="71"/>
        <v>-1.7429979999999929</v>
      </c>
      <c r="H169" s="32">
        <f t="shared" si="71"/>
        <v>3.3249979999999972</v>
      </c>
      <c r="I169" s="32">
        <f t="shared" si="71"/>
        <v>-4.9689970000000017</v>
      </c>
      <c r="O169" s="128"/>
    </row>
    <row r="170" spans="2:15" ht="13" customHeight="1">
      <c r="B170" s="12" t="s">
        <v>168</v>
      </c>
      <c r="C170" s="138"/>
      <c r="D170" s="138"/>
      <c r="E170" s="138"/>
      <c r="F170" s="138"/>
      <c r="G170" s="122">
        <f>SUM(G164:G169)</f>
        <v>144.02202899999992</v>
      </c>
      <c r="H170" s="122">
        <f>SUM(H164:H169)</f>
        <v>-469.1839129999999</v>
      </c>
      <c r="I170" s="122">
        <f>SUM(I164:I169)</f>
        <v>153.04978200000033</v>
      </c>
      <c r="O170" s="128"/>
    </row>
    <row r="171" spans="2:15" ht="13" customHeight="1">
      <c r="B171" s="13" t="s">
        <v>145</v>
      </c>
      <c r="G171" s="19">
        <f>+G170-G137</f>
        <v>0</v>
      </c>
      <c r="H171" s="19">
        <f>+H170-H137</f>
        <v>0</v>
      </c>
      <c r="I171" s="19">
        <f>+I170-I137</f>
        <v>0</v>
      </c>
      <c r="O171" s="128"/>
    </row>
    <row r="172" spans="2:15" ht="13" customHeight="1">
      <c r="O172" s="128"/>
    </row>
    <row r="173" spans="2:15" ht="13" customHeight="1">
      <c r="O173" s="128"/>
    </row>
    <row r="174" spans="2:15" ht="13" customHeight="1">
      <c r="O174" s="128"/>
    </row>
    <row r="175" spans="2:15" ht="13" customHeight="1">
      <c r="F175" s="32"/>
      <c r="O175" s="128"/>
    </row>
  </sheetData>
  <conditionalFormatting sqref="A150:B150 B114">
    <cfRule type="iconSet" priority="7">
      <iconSet iconSet="3ArrowsGray">
        <cfvo type="percent" val="0"/>
        <cfvo type="percent" val="33"/>
        <cfvo type="percent" val="67"/>
      </iconSet>
    </cfRule>
  </conditionalFormatting>
  <conditionalFormatting sqref="B113">
    <cfRule type="iconSet" priority="8">
      <iconSet iconSet="3ArrowsGray">
        <cfvo type="percent" val="0"/>
        <cfvo type="percent" val="33"/>
        <cfvo type="percent" val="67"/>
      </iconSet>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U38"/>
  <sheetViews>
    <sheetView showGridLines="0" zoomScale="136" zoomScaleNormal="100" workbookViewId="0">
      <pane ySplit="6" topLeftCell="A7" activePane="bottomLeft" state="frozen"/>
      <selection activeCell="N59" sqref="N59"/>
      <selection pane="bottomLeft" activeCell="M22" sqref="M22"/>
    </sheetView>
  </sheetViews>
  <sheetFormatPr baseColWidth="10" defaultColWidth="10.75" defaultRowHeight="13" customHeight="1"/>
  <cols>
    <col min="1" max="1" width="16.75" customWidth="1"/>
    <col min="2" max="2" width="36.75" customWidth="1"/>
    <col min="4" max="4" width="11.5" bestFit="1" customWidth="1"/>
    <col min="15" max="15" width="1.25" customWidth="1"/>
  </cols>
  <sheetData>
    <row r="1" spans="1:21" ht="13" customHeight="1">
      <c r="B1" s="7"/>
      <c r="C1" s="6"/>
      <c r="D1" s="6"/>
      <c r="E1" s="6"/>
      <c r="F1" s="25"/>
      <c r="G1" s="6"/>
      <c r="H1" s="6"/>
      <c r="I1" s="6"/>
      <c r="J1" s="6"/>
      <c r="K1" s="6"/>
      <c r="L1" s="6"/>
      <c r="M1" s="6"/>
      <c r="N1" s="6"/>
    </row>
    <row r="2" spans="1:21" ht="20" customHeight="1">
      <c r="A2" s="479"/>
      <c r="B2" s="491" t="s">
        <v>185</v>
      </c>
      <c r="C2" s="480"/>
      <c r="D2" s="480"/>
      <c r="E2" s="480"/>
      <c r="F2" s="480"/>
      <c r="G2" s="480"/>
      <c r="H2" s="480"/>
      <c r="I2" s="480"/>
      <c r="J2" s="480"/>
      <c r="K2" s="480"/>
      <c r="L2" s="480"/>
      <c r="M2" s="480"/>
      <c r="N2" s="479"/>
    </row>
    <row r="3" spans="1:21" ht="13" customHeight="1">
      <c r="B3" s="8"/>
      <c r="C3" s="6"/>
      <c r="D3" s="6"/>
      <c r="E3" s="6"/>
      <c r="F3" s="23" t="s">
        <v>6</v>
      </c>
      <c r="G3" s="22"/>
      <c r="H3" s="22"/>
      <c r="I3" s="22"/>
      <c r="J3" s="23" t="s">
        <v>7</v>
      </c>
      <c r="K3" s="21"/>
      <c r="L3" s="21"/>
      <c r="M3" s="21"/>
      <c r="N3" s="21"/>
    </row>
    <row r="4" spans="1:21" ht="5" customHeight="1">
      <c r="B4" s="8"/>
      <c r="C4" s="6"/>
      <c r="D4" s="6"/>
      <c r="E4" s="6"/>
      <c r="F4" s="25"/>
      <c r="G4" s="6"/>
      <c r="H4" s="6"/>
      <c r="I4" s="6"/>
      <c r="J4" s="25"/>
      <c r="K4" s="6"/>
      <c r="L4" s="6"/>
      <c r="M4" s="6"/>
      <c r="N4" s="6"/>
    </row>
    <row r="5" spans="1:21" ht="15" customHeight="1">
      <c r="B5" s="482" t="s">
        <v>8</v>
      </c>
      <c r="C5" s="482"/>
      <c r="D5" s="483"/>
      <c r="E5" s="483"/>
      <c r="F5" s="262">
        <v>43830</v>
      </c>
      <c r="G5" s="263">
        <f t="shared" ref="G5:N5" si="0">+EOMONTH(F5,12)</f>
        <v>44196</v>
      </c>
      <c r="H5" s="263">
        <f t="shared" si="0"/>
        <v>44561</v>
      </c>
      <c r="I5" s="263">
        <f t="shared" si="0"/>
        <v>44926</v>
      </c>
      <c r="J5" s="485">
        <f t="shared" si="0"/>
        <v>45291</v>
      </c>
      <c r="K5" s="486">
        <f t="shared" si="0"/>
        <v>45657</v>
      </c>
      <c r="L5" s="486">
        <f t="shared" si="0"/>
        <v>46022</v>
      </c>
      <c r="M5" s="486">
        <f t="shared" si="0"/>
        <v>46387</v>
      </c>
      <c r="N5" s="486">
        <f t="shared" si="0"/>
        <v>46752</v>
      </c>
      <c r="P5" s="482" t="s">
        <v>10</v>
      </c>
      <c r="Q5" s="482"/>
      <c r="R5" s="482"/>
      <c r="S5" s="482"/>
      <c r="T5" s="482"/>
      <c r="U5" s="482"/>
    </row>
    <row r="6" spans="1:21" ht="5" customHeight="1">
      <c r="B6" s="8"/>
      <c r="C6" s="6"/>
      <c r="D6" s="6"/>
      <c r="E6" s="6"/>
      <c r="F6" s="25"/>
      <c r="G6" s="6"/>
      <c r="H6" s="6"/>
      <c r="I6" s="6"/>
      <c r="J6" s="6"/>
      <c r="K6" s="6"/>
      <c r="L6" s="6"/>
      <c r="M6" s="6"/>
      <c r="N6" s="6"/>
    </row>
    <row r="7" spans="1:21" ht="5" customHeight="1">
      <c r="B7" s="8"/>
      <c r="C7" s="6"/>
      <c r="D7" s="6"/>
      <c r="E7" s="6"/>
      <c r="F7" s="6"/>
      <c r="G7" s="6"/>
      <c r="H7" s="6"/>
      <c r="I7" s="6"/>
      <c r="J7" s="6"/>
      <c r="K7" s="6"/>
      <c r="L7" s="6"/>
      <c r="M7" s="6"/>
      <c r="N7" s="6"/>
    </row>
    <row r="8" spans="1:21" ht="13" customHeight="1">
      <c r="B8" s="487" t="s">
        <v>186</v>
      </c>
      <c r="C8" s="487"/>
      <c r="D8" s="487"/>
      <c r="E8" s="487"/>
      <c r="F8" s="487"/>
      <c r="G8" s="487"/>
      <c r="H8" s="487"/>
      <c r="I8" s="487"/>
      <c r="J8" s="487"/>
      <c r="K8" s="487"/>
      <c r="L8" s="487"/>
      <c r="M8" s="487"/>
      <c r="N8" s="487"/>
    </row>
    <row r="9" spans="1:21" ht="5" customHeight="1">
      <c r="B9" s="8"/>
    </row>
    <row r="10" spans="1:21" ht="5" customHeight="1">
      <c r="B10" s="8"/>
    </row>
    <row r="11" spans="1:21" ht="12.5" customHeight="1">
      <c r="B11" s="315" t="s">
        <v>187</v>
      </c>
      <c r="C11" s="314"/>
      <c r="D11" s="314"/>
      <c r="E11" s="314"/>
      <c r="F11" s="314"/>
      <c r="G11" s="314"/>
      <c r="H11" s="314"/>
      <c r="I11" s="314"/>
      <c r="J11" s="314"/>
      <c r="K11" s="314"/>
      <c r="L11" s="314"/>
      <c r="M11" s="314"/>
      <c r="N11" s="314"/>
    </row>
    <row r="12" spans="1:21" ht="12.5" customHeight="1">
      <c r="B12" s="11"/>
    </row>
    <row r="13" spans="1:21" ht="12.5" customHeight="1">
      <c r="B13" s="494" t="s">
        <v>188</v>
      </c>
      <c r="D13" t="s">
        <v>189</v>
      </c>
      <c r="F13" s="121">
        <v>71.89</v>
      </c>
      <c r="G13" s="121">
        <v>63.82</v>
      </c>
      <c r="H13" s="121">
        <v>68.48</v>
      </c>
      <c r="I13" s="121">
        <v>71.900000000000006</v>
      </c>
      <c r="J13" s="121">
        <v>82.3</v>
      </c>
      <c r="K13" s="121">
        <v>85.38</v>
      </c>
      <c r="L13" s="121">
        <v>88.27</v>
      </c>
      <c r="M13" s="121">
        <v>91.01</v>
      </c>
      <c r="N13" s="121">
        <v>93.57</v>
      </c>
      <c r="P13" s="197" t="s">
        <v>190</v>
      </c>
    </row>
    <row r="14" spans="1:21" ht="12.5" customHeight="1">
      <c r="D14" t="s">
        <v>191</v>
      </c>
      <c r="F14" s="121">
        <v>23.93</v>
      </c>
      <c r="G14" s="121">
        <v>21.75</v>
      </c>
      <c r="H14" s="121">
        <v>24.21</v>
      </c>
      <c r="I14" s="121">
        <v>25.33</v>
      </c>
      <c r="J14" s="121">
        <v>29.15</v>
      </c>
      <c r="K14" s="121">
        <v>30.52</v>
      </c>
      <c r="L14" s="121">
        <v>31.81</v>
      </c>
      <c r="M14" s="121">
        <v>33.04</v>
      </c>
      <c r="N14" s="121">
        <v>34.19</v>
      </c>
    </row>
    <row r="15" spans="1:21" ht="12.5" customHeight="1">
      <c r="B15" s="8"/>
      <c r="D15" s="45" t="s">
        <v>192</v>
      </c>
      <c r="E15" s="45"/>
      <c r="F15" s="45">
        <f>SUM(F13:F14)</f>
        <v>95.82</v>
      </c>
      <c r="G15" s="45">
        <f t="shared" ref="G15:N15" si="1">SUM(G13:G14)</f>
        <v>85.57</v>
      </c>
      <c r="H15" s="45">
        <f t="shared" si="1"/>
        <v>92.69</v>
      </c>
      <c r="I15" s="45">
        <f t="shared" si="1"/>
        <v>97.23</v>
      </c>
      <c r="J15" s="45">
        <f t="shared" si="1"/>
        <v>111.44999999999999</v>
      </c>
      <c r="K15" s="45">
        <f t="shared" si="1"/>
        <v>115.89999999999999</v>
      </c>
      <c r="L15" s="45">
        <f t="shared" si="1"/>
        <v>120.08</v>
      </c>
      <c r="M15" s="45">
        <f t="shared" si="1"/>
        <v>124.05000000000001</v>
      </c>
      <c r="N15" s="45">
        <f t="shared" si="1"/>
        <v>127.75999999999999</v>
      </c>
      <c r="P15" t="s">
        <v>193</v>
      </c>
      <c r="Q15" s="217">
        <f>(N15/I15)^(1/6)-1</f>
        <v>4.6563946707404602E-2</v>
      </c>
    </row>
    <row r="16" spans="1:21" ht="12.5" customHeight="1">
      <c r="B16" s="8"/>
      <c r="J16" s="474"/>
      <c r="K16" s="474"/>
      <c r="L16" s="474"/>
      <c r="M16" s="474"/>
      <c r="N16" s="474"/>
    </row>
    <row r="17" spans="1:16" ht="12.5" customHeight="1">
      <c r="B17" s="8"/>
    </row>
    <row r="18" spans="1:16" ht="12.5" customHeight="1">
      <c r="B18" s="11" t="s">
        <v>194</v>
      </c>
      <c r="F18">
        <v>1.121</v>
      </c>
      <c r="G18">
        <v>1.2213000000000001</v>
      </c>
      <c r="H18">
        <v>1.1368</v>
      </c>
      <c r="I18">
        <v>0.93410000000000004</v>
      </c>
      <c r="J18">
        <v>1.07</v>
      </c>
      <c r="K18">
        <v>1.07</v>
      </c>
      <c r="L18">
        <v>1.07</v>
      </c>
      <c r="M18">
        <v>1.07</v>
      </c>
      <c r="N18">
        <v>1.07</v>
      </c>
    </row>
    <row r="19" spans="1:16" ht="12.5" customHeight="1">
      <c r="B19" s="494" t="s">
        <v>195</v>
      </c>
      <c r="F19" s="217">
        <f>AsReported!F15*F18/(RevAssumptions!F15*1000)</f>
        <v>1.9042539766844082E-2</v>
      </c>
      <c r="G19" s="217">
        <f>AsReported!G15*G18/(RevAssumptions!G15*1000)</f>
        <v>2.0558274892315063E-2</v>
      </c>
      <c r="H19" s="217">
        <f>AsReported!H15*H18/(RevAssumptions!H15*1000)</f>
        <v>2.509450772568346E-2</v>
      </c>
      <c r="I19" s="217">
        <f>AsReported!I15*I18/(RevAssumptions!I15*1000)</f>
        <v>2.5006268117363985E-2</v>
      </c>
      <c r="J19" s="325">
        <f>+I19+0.002</f>
        <v>2.7006268117363987E-2</v>
      </c>
      <c r="K19" s="325">
        <f>+J19+0.002</f>
        <v>2.9006268117363988E-2</v>
      </c>
      <c r="L19" s="325">
        <f>+K19+0.0015</f>
        <v>3.050626811736399E-2</v>
      </c>
      <c r="M19" s="325">
        <f t="shared" ref="M19:N19" si="2">+L19+0.001</f>
        <v>3.1506268117363991E-2</v>
      </c>
      <c r="N19" s="325">
        <f t="shared" si="2"/>
        <v>3.2506268117363991E-2</v>
      </c>
    </row>
    <row r="20" spans="1:16" ht="12.5" customHeight="1">
      <c r="B20" s="494" t="s">
        <v>196</v>
      </c>
      <c r="F20" s="217"/>
      <c r="G20" s="217">
        <f t="shared" ref="G20:I20" si="3">+G19/F19-1</f>
        <v>7.959731968684669E-2</v>
      </c>
      <c r="H20" s="217">
        <f t="shared" si="3"/>
        <v>0.22065240673788722</v>
      </c>
      <c r="I20" s="217">
        <f t="shared" si="3"/>
        <v>-3.5162916636600761E-3</v>
      </c>
      <c r="J20" s="217">
        <f>+J19/I19-1</f>
        <v>7.9979947052204459E-2</v>
      </c>
      <c r="K20" s="217">
        <f>+K19/J19-1</f>
        <v>7.4056881584245282E-2</v>
      </c>
      <c r="L20" s="217">
        <f>+L19/K19-1</f>
        <v>5.1712960589440859E-2</v>
      </c>
      <c r="M20" s="217">
        <f>+M19/L19-1</f>
        <v>3.2780148530551001E-2</v>
      </c>
      <c r="N20" s="217">
        <f>+N19/M19-1</f>
        <v>3.1739715928109868E-2</v>
      </c>
    </row>
    <row r="21" spans="1:16" ht="12.5" customHeight="1" thickBot="1">
      <c r="B21" s="170"/>
      <c r="F21" s="217"/>
      <c r="G21" s="217"/>
      <c r="H21" s="217"/>
      <c r="I21" s="217"/>
      <c r="J21" s="217"/>
      <c r="K21" s="217"/>
      <c r="L21" s="217"/>
      <c r="M21" s="217"/>
      <c r="N21" s="217"/>
    </row>
    <row r="22" spans="1:16" s="6" customFormat="1" ht="13" customHeight="1" thickTop="1" thickBot="1">
      <c r="A22"/>
      <c r="B22" s="11" t="s">
        <v>197</v>
      </c>
      <c r="C22" s="13"/>
      <c r="J22" s="146">
        <v>2.1999999999999999E-2</v>
      </c>
      <c r="K22" s="146">
        <v>2.1999999999999999E-2</v>
      </c>
      <c r="L22" s="146">
        <v>2.1999999999999999E-2</v>
      </c>
      <c r="M22" s="146">
        <v>2.1999999999999999E-2</v>
      </c>
      <c r="N22" s="146">
        <v>2.1999999999999999E-2</v>
      </c>
      <c r="P22" s="317" t="s">
        <v>198</v>
      </c>
    </row>
    <row r="23" spans="1:16" ht="13" customHeight="1" thickTop="1">
      <c r="B23" s="8"/>
      <c r="C23" s="6"/>
      <c r="D23" s="6"/>
      <c r="E23" s="6"/>
      <c r="F23" s="19"/>
      <c r="G23" s="19"/>
      <c r="H23" s="19"/>
      <c r="I23" s="19"/>
    </row>
    <row r="25" spans="1:16" ht="5" customHeight="1"/>
    <row r="38" spans="2:9" ht="13" customHeight="1">
      <c r="B38" s="8"/>
      <c r="D38" s="6"/>
      <c r="F38" s="6"/>
      <c r="G38" s="6"/>
      <c r="H38" s="6"/>
      <c r="I38" s="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9B00"/>
  </sheetPr>
  <dimension ref="A1:P34"/>
  <sheetViews>
    <sheetView showGridLines="0" tabSelected="1" zoomScaleNormal="100" workbookViewId="0">
      <selection activeCell="N24" sqref="N24"/>
    </sheetView>
  </sheetViews>
  <sheetFormatPr baseColWidth="10" defaultColWidth="0" defaultRowHeight="11.25" customHeight="1" zeroHeight="1"/>
  <cols>
    <col min="1" max="14" width="9.25" customWidth="1"/>
    <col min="15" max="16" width="9.25" hidden="1" customWidth="1"/>
    <col min="17" max="16384" width="9.25" hidden="1"/>
  </cols>
  <sheetData>
    <row r="1" spans="1:16" ht="11">
      <c r="A1" s="478"/>
      <c r="B1" s="478"/>
      <c r="C1" s="478"/>
      <c r="D1" s="478"/>
      <c r="E1" s="478"/>
      <c r="F1" s="478"/>
      <c r="G1" s="478"/>
      <c r="H1" s="478"/>
      <c r="I1" s="478"/>
      <c r="J1" s="478"/>
      <c r="K1" s="478"/>
      <c r="L1" s="478"/>
      <c r="M1" s="478"/>
      <c r="N1" s="478"/>
      <c r="O1" s="48"/>
      <c r="P1" s="48"/>
    </row>
    <row r="2" spans="1:16" ht="11">
      <c r="A2" s="478"/>
      <c r="B2" s="478"/>
      <c r="C2" s="478"/>
      <c r="D2" s="478"/>
      <c r="E2" s="478"/>
      <c r="F2" s="478"/>
      <c r="G2" s="478"/>
      <c r="H2" s="478"/>
      <c r="I2" s="478"/>
      <c r="J2" s="478"/>
      <c r="K2" s="478"/>
      <c r="L2" s="478"/>
      <c r="M2" s="478"/>
      <c r="N2" s="478"/>
      <c r="O2" s="48"/>
      <c r="P2" s="48"/>
    </row>
    <row r="3" spans="1:16" ht="11">
      <c r="A3" s="478"/>
      <c r="B3" s="478"/>
      <c r="C3" s="478"/>
      <c r="D3" s="478"/>
      <c r="E3" s="478"/>
      <c r="F3" s="478"/>
      <c r="G3" s="478"/>
      <c r="H3" s="478"/>
      <c r="I3" s="478"/>
      <c r="J3" s="478"/>
      <c r="K3" s="478"/>
      <c r="L3" s="478"/>
      <c r="M3" s="478"/>
      <c r="N3" s="478"/>
      <c r="O3" s="48"/>
      <c r="P3" s="48"/>
    </row>
    <row r="4" spans="1:16" ht="11">
      <c r="A4" s="478"/>
      <c r="B4" s="478"/>
      <c r="C4" s="478"/>
      <c r="D4" s="478"/>
      <c r="E4" s="478"/>
      <c r="F4" s="478"/>
      <c r="G4" s="478"/>
      <c r="H4" s="478"/>
      <c r="I4" s="478"/>
      <c r="J4" s="478"/>
      <c r="K4" s="478"/>
      <c r="L4" s="478"/>
      <c r="M4" s="478"/>
      <c r="N4" s="478"/>
      <c r="O4" s="48"/>
      <c r="P4" s="48"/>
    </row>
    <row r="5" spans="1:16" ht="11">
      <c r="A5" s="478"/>
      <c r="B5" s="478"/>
      <c r="C5" s="478"/>
      <c r="D5" s="478"/>
      <c r="E5" s="478"/>
      <c r="F5" s="478"/>
      <c r="G5" s="478"/>
      <c r="H5" s="478"/>
      <c r="I5" s="478"/>
      <c r="J5" s="478"/>
      <c r="K5" s="478"/>
      <c r="L5" s="478"/>
      <c r="M5" s="478"/>
      <c r="N5" s="478"/>
      <c r="O5" s="48"/>
      <c r="P5" s="48"/>
    </row>
    <row r="6" spans="1:16" ht="11"/>
    <row r="7" spans="1:16" ht="11"/>
    <row r="8" spans="1:16" ht="11"/>
    <row r="9" spans="1:16" ht="11"/>
    <row r="10" spans="1:16" ht="11"/>
    <row r="11" spans="1:16" ht="11"/>
    <row r="12" spans="1:16" ht="23">
      <c r="C12" s="520" t="s">
        <v>2</v>
      </c>
      <c r="D12" s="50"/>
      <c r="E12" s="49"/>
    </row>
    <row r="13" spans="1:16" ht="23">
      <c r="C13" s="520" t="s">
        <v>3</v>
      </c>
      <c r="D13" s="50"/>
      <c r="E13" s="50"/>
    </row>
    <row r="14" spans="1:16" ht="11"/>
    <row r="15" spans="1:16" ht="11"/>
    <row r="16" spans="1:16" ht="11"/>
    <row r="17" spans="3:3" ht="28">
      <c r="C17" s="51" t="s">
        <v>199</v>
      </c>
    </row>
    <row r="18" spans="3:3" ht="28">
      <c r="C18" s="51"/>
    </row>
    <row r="19" spans="3:3" ht="11"/>
    <row r="20" spans="3:3" ht="11"/>
    <row r="21" spans="3:3" ht="11"/>
    <row r="22" spans="3:3" ht="11"/>
    <row r="23" spans="3:3" ht="11"/>
    <row r="24" spans="3:3" ht="11"/>
    <row r="25" spans="3:3" ht="11"/>
    <row r="26" spans="3:3" ht="11"/>
    <row r="27" spans="3:3" ht="11"/>
    <row r="28" spans="3:3" ht="11"/>
    <row r="29" spans="3:3" ht="11"/>
    <row r="30" spans="3:3" ht="11" hidden="1"/>
    <row r="31" spans="3:3" ht="11" hidden="1"/>
    <row r="32" spans="3:3" ht="11" hidden="1"/>
    <row r="33" ht="11" hidden="1"/>
    <row r="34" ht="11" hidden="1"/>
  </sheetData>
  <pageMargins left="0.7" right="0.7" top="0.75" bottom="0.75" header="0.3" footer="0.3"/>
  <pageSetup paperSize="9"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41C60-5154-4485-B965-29432693EC89}">
  <sheetPr>
    <tabColor rgb="FFFFFF00"/>
  </sheetPr>
  <dimension ref="A1:R59"/>
  <sheetViews>
    <sheetView showGridLines="0" zoomScale="117" workbookViewId="0">
      <selection activeCell="D47" sqref="D47"/>
    </sheetView>
  </sheetViews>
  <sheetFormatPr baseColWidth="10" defaultColWidth="9" defaultRowHeight="15"/>
  <cols>
    <col min="1" max="1" width="9" style="229"/>
    <col min="2" max="2" width="51.25" style="274" customWidth="1"/>
    <col min="3" max="3" width="28.75" style="274" customWidth="1"/>
    <col min="4" max="4" width="16" style="274" bestFit="1" customWidth="1"/>
    <col min="5" max="5" width="16.75" style="274" customWidth="1"/>
    <col min="6" max="6" width="17.25" style="274" bestFit="1" customWidth="1"/>
    <col min="7" max="7" width="20.75" style="274" customWidth="1"/>
    <col min="8" max="8" width="11.5" style="274" bestFit="1" customWidth="1"/>
    <col min="9" max="9" width="14" style="274" bestFit="1" customWidth="1"/>
    <col min="10" max="10" width="10.75" style="274" customWidth="1"/>
    <col min="11" max="11" width="18" style="274" bestFit="1" customWidth="1"/>
    <col min="12" max="12" width="13" style="274" bestFit="1" customWidth="1"/>
    <col min="13" max="13" width="14" style="274" customWidth="1"/>
    <col min="14" max="14" width="18.25" style="274" bestFit="1" customWidth="1"/>
    <col min="15" max="15" width="17.75" style="274" bestFit="1" customWidth="1"/>
    <col min="16" max="16" width="9" style="274"/>
    <col min="17" max="17" width="11.75" style="274" customWidth="1"/>
    <col min="18" max="16384" width="9" style="229"/>
  </cols>
  <sheetData>
    <row r="1" spans="1:17">
      <c r="B1" s="229"/>
      <c r="C1" s="229"/>
      <c r="D1" s="229"/>
      <c r="E1" s="229"/>
      <c r="F1" s="229"/>
      <c r="G1" s="229"/>
      <c r="H1" s="229"/>
      <c r="I1" s="229"/>
      <c r="J1" s="229"/>
      <c r="K1" s="229"/>
      <c r="L1" s="229"/>
      <c r="M1" s="229"/>
      <c r="N1" s="229"/>
      <c r="O1" s="229"/>
      <c r="P1" s="229"/>
      <c r="Q1" s="229"/>
    </row>
    <row r="2" spans="1:17" ht="21.75" customHeight="1">
      <c r="A2" s="495"/>
      <c r="B2" s="496" t="s">
        <v>200</v>
      </c>
      <c r="C2" s="495"/>
      <c r="D2" s="495"/>
      <c r="E2" s="495"/>
      <c r="F2" s="495"/>
      <c r="G2" s="495"/>
      <c r="H2" s="495"/>
      <c r="I2" s="495"/>
      <c r="J2" s="495"/>
      <c r="K2" s="495"/>
      <c r="L2" s="495"/>
      <c r="M2" s="495"/>
      <c r="N2" s="495"/>
      <c r="O2" s="495"/>
      <c r="P2" s="495"/>
      <c r="Q2" s="495"/>
    </row>
    <row r="3" spans="1:17">
      <c r="B3" s="229"/>
      <c r="C3" s="230"/>
      <c r="D3" s="230"/>
      <c r="E3" s="231"/>
      <c r="F3" s="231"/>
      <c r="G3" s="231"/>
      <c r="H3" s="231"/>
      <c r="I3" s="231"/>
      <c r="J3" s="231"/>
      <c r="K3" s="231"/>
      <c r="L3" s="231"/>
      <c r="M3" s="231"/>
      <c r="N3" s="231"/>
      <c r="O3" s="231"/>
      <c r="P3" s="229"/>
      <c r="Q3" s="229"/>
    </row>
    <row r="4" spans="1:17" ht="32.25" customHeight="1">
      <c r="B4" s="499" t="s">
        <v>532</v>
      </c>
      <c r="C4" s="498" t="s">
        <v>201</v>
      </c>
      <c r="D4" s="498" t="s">
        <v>202</v>
      </c>
      <c r="E4" s="498" t="s">
        <v>203</v>
      </c>
      <c r="F4" s="498" t="s">
        <v>204</v>
      </c>
      <c r="G4" s="498" t="s">
        <v>531</v>
      </c>
      <c r="H4" s="497" t="s">
        <v>139</v>
      </c>
      <c r="I4" s="498" t="s">
        <v>142</v>
      </c>
      <c r="J4" s="498" t="s">
        <v>205</v>
      </c>
      <c r="K4" s="498" t="s">
        <v>206</v>
      </c>
      <c r="L4" s="498" t="s">
        <v>207</v>
      </c>
      <c r="M4" s="498" t="s">
        <v>208</v>
      </c>
      <c r="N4" s="498" t="s">
        <v>209</v>
      </c>
      <c r="O4" s="498" t="s">
        <v>210</v>
      </c>
      <c r="P4" s="499" t="s">
        <v>100</v>
      </c>
      <c r="Q4" s="498" t="s">
        <v>211</v>
      </c>
    </row>
    <row r="5" spans="1:17">
      <c r="B5" s="232"/>
      <c r="C5" s="229"/>
      <c r="D5" s="229"/>
      <c r="E5" s="229"/>
      <c r="F5" s="229"/>
      <c r="G5" s="229"/>
      <c r="H5" s="229"/>
      <c r="I5" s="121"/>
      <c r="J5" s="121"/>
      <c r="K5" s="121"/>
      <c r="L5" s="229"/>
      <c r="M5" s="229"/>
      <c r="N5" s="121"/>
      <c r="O5" s="229"/>
      <c r="P5" s="229"/>
      <c r="Q5" s="229"/>
    </row>
    <row r="6" spans="1:17">
      <c r="B6" s="273" t="e" vm="1">
        <v>#VALUE!</v>
      </c>
      <c r="C6" s="274" t="s">
        <v>212</v>
      </c>
      <c r="D6" s="274" t="str" cm="1">
        <f t="array" ref="D6">_FV(B6,"Currency")&amp;" million"</f>
        <v>EUR million</v>
      </c>
      <c r="E6" s="65">
        <f>+'Comps data'!E10</f>
        <v>941.70800000000008</v>
      </c>
      <c r="F6" s="121">
        <v>719.1</v>
      </c>
      <c r="G6" s="121">
        <v>167.7</v>
      </c>
      <c r="H6" s="32">
        <f t="shared" ref="H6:H11" si="0">+F6-G6</f>
        <v>551.40000000000009</v>
      </c>
      <c r="I6" s="121">
        <v>0</v>
      </c>
      <c r="J6" s="121">
        <v>6.9</v>
      </c>
      <c r="K6" s="121">
        <v>0</v>
      </c>
      <c r="L6" s="32">
        <f t="shared" ref="L6:L11" si="1">E6+H6+I6+J6</f>
        <v>1500.0080000000003</v>
      </c>
      <c r="M6" s="233">
        <f t="shared" ref="M6:M11" si="2">+H6/(E6+I6+K6)</f>
        <v>0.58553182090414446</v>
      </c>
      <c r="N6" s="121">
        <v>0.87</v>
      </c>
      <c r="O6" s="32">
        <f t="shared" ref="O6:O11" si="3">2/3*N6+1/3</f>
        <v>0.91333333333333333</v>
      </c>
      <c r="P6" s="238">
        <v>0.24</v>
      </c>
      <c r="Q6" s="32">
        <f t="shared" ref="Q6:Q11" si="4">O6/(1+(M6)*(1-P6))</f>
        <v>0.63206276045264498</v>
      </c>
    </row>
    <row r="7" spans="1:17">
      <c r="B7" s="274" t="e" vm="2">
        <v>#VALUE!</v>
      </c>
      <c r="C7" s="274" t="s">
        <v>213</v>
      </c>
      <c r="D7" s="274" t="str" cm="1">
        <f t="array" ref="D7">_FV(B7,"Currency")&amp;" million"</f>
        <v>GBp million</v>
      </c>
      <c r="E7" s="65">
        <f>+'Comps data'!E11</f>
        <v>7900.3540000000003</v>
      </c>
      <c r="F7" s="121">
        <v>1486</v>
      </c>
      <c r="G7" s="121">
        <v>1026</v>
      </c>
      <c r="H7" s="32">
        <f t="shared" si="0"/>
        <v>460</v>
      </c>
      <c r="I7" s="121">
        <v>0.16</v>
      </c>
      <c r="J7" s="121">
        <v>0</v>
      </c>
      <c r="K7" s="121">
        <v>0</v>
      </c>
      <c r="L7" s="32">
        <f t="shared" si="1"/>
        <v>8360.5139999999992</v>
      </c>
      <c r="M7" s="233">
        <f t="shared" si="2"/>
        <v>5.8224059852308344E-2</v>
      </c>
      <c r="N7" s="121">
        <v>1.26</v>
      </c>
      <c r="O7" s="32">
        <f t="shared" si="3"/>
        <v>1.1733333333333333</v>
      </c>
      <c r="P7" s="238">
        <v>0.25</v>
      </c>
      <c r="Q7" s="32">
        <f t="shared" si="4"/>
        <v>1.1242399717794023</v>
      </c>
    </row>
    <row r="8" spans="1:17">
      <c r="B8" s="274" t="e" vm="3">
        <v>#VALUE!</v>
      </c>
      <c r="C8" s="274" t="s">
        <v>212</v>
      </c>
      <c r="D8" s="274" t="str" cm="1">
        <f t="array" ref="D8">_FV(B8,"Currency")&amp;" million"</f>
        <v>EUR million</v>
      </c>
      <c r="E8" s="65">
        <f>+'Comps data'!E14</f>
        <v>2742.2869999999998</v>
      </c>
      <c r="F8" s="121">
        <v>604.59</v>
      </c>
      <c r="G8" s="121">
        <v>401.61</v>
      </c>
      <c r="H8" s="32">
        <f t="shared" si="0"/>
        <v>202.98000000000002</v>
      </c>
      <c r="I8" s="121">
        <v>23.6</v>
      </c>
      <c r="J8" s="121">
        <v>7.59</v>
      </c>
      <c r="K8" s="121">
        <v>0</v>
      </c>
      <c r="L8" s="32">
        <f t="shared" si="1"/>
        <v>2976.4569999999999</v>
      </c>
      <c r="M8" s="233">
        <f t="shared" si="2"/>
        <v>7.3386946032140882E-2</v>
      </c>
      <c r="N8" s="121">
        <v>1.32</v>
      </c>
      <c r="O8" s="32">
        <f t="shared" si="3"/>
        <v>1.2133333333333334</v>
      </c>
      <c r="P8" s="238">
        <v>0.24</v>
      </c>
      <c r="Q8" s="32">
        <f t="shared" si="4"/>
        <v>1.1492357668986022</v>
      </c>
    </row>
    <row r="9" spans="1:17">
      <c r="B9" s="274" t="e" vm="4">
        <v>#VALUE!</v>
      </c>
      <c r="C9" s="274" t="s">
        <v>212</v>
      </c>
      <c r="D9" s="274" t="str" cm="1">
        <f t="array" ref="D9">_FV(B9,"Currency")&amp;" million"</f>
        <v>EUR million</v>
      </c>
      <c r="E9" s="65">
        <f>+'Comps data'!E13</f>
        <v>4698.7999999999993</v>
      </c>
      <c r="F9" s="121">
        <v>686.39</v>
      </c>
      <c r="G9" s="121">
        <v>117.51</v>
      </c>
      <c r="H9" s="32">
        <f t="shared" si="0"/>
        <v>568.88</v>
      </c>
      <c r="I9" s="121">
        <v>10.4</v>
      </c>
      <c r="J9" s="121">
        <v>3.06</v>
      </c>
      <c r="K9" s="121">
        <v>0</v>
      </c>
      <c r="L9" s="32">
        <f t="shared" si="1"/>
        <v>5281.1399999999994</v>
      </c>
      <c r="M9" s="233">
        <f t="shared" si="2"/>
        <v>0.12080183470653193</v>
      </c>
      <c r="N9" s="121">
        <v>1.1200000000000001</v>
      </c>
      <c r="O9" s="32">
        <f t="shared" si="3"/>
        <v>1.08</v>
      </c>
      <c r="P9" s="238">
        <v>0.24</v>
      </c>
      <c r="Q9" s="32">
        <f t="shared" si="4"/>
        <v>0.98918364832013272</v>
      </c>
    </row>
    <row r="10" spans="1:17">
      <c r="B10" s="274" t="e" vm="5">
        <v>#VALUE!</v>
      </c>
      <c r="C10" s="274" t="s">
        <v>214</v>
      </c>
      <c r="D10" s="274" t="str" cm="1">
        <f t="array" ref="D10">_FV(B10,"Currency")&amp;" million"</f>
        <v>USD million</v>
      </c>
      <c r="E10" s="65">
        <f>+'Comps data'!E15</f>
        <v>1881.9826999999998</v>
      </c>
      <c r="F10" s="121">
        <v>557.14</v>
      </c>
      <c r="G10" s="121">
        <v>211.7</v>
      </c>
      <c r="H10" s="32">
        <f t="shared" si="0"/>
        <v>345.44</v>
      </c>
      <c r="I10" s="121">
        <v>5.9</v>
      </c>
      <c r="J10" s="121">
        <v>0</v>
      </c>
      <c r="K10" s="121">
        <v>0</v>
      </c>
      <c r="L10" s="32">
        <f t="shared" si="1"/>
        <v>2233.3226999999997</v>
      </c>
      <c r="M10" s="233">
        <f t="shared" si="2"/>
        <v>0.18297746994556388</v>
      </c>
      <c r="N10" s="121" cm="1">
        <f t="array" ref="N10">_FV(B10,"Beta")</f>
        <v>1.7989999999999999</v>
      </c>
      <c r="O10" s="32">
        <f t="shared" si="3"/>
        <v>1.5326666666666664</v>
      </c>
      <c r="P10" s="238">
        <v>0.254</v>
      </c>
      <c r="Q10" s="32">
        <f t="shared" si="4"/>
        <v>1.348583421358444</v>
      </c>
    </row>
    <row r="11" spans="1:17">
      <c r="B11" s="274" t="e" vm="6">
        <v>#VALUE!</v>
      </c>
      <c r="C11" s="274" t="s">
        <v>215</v>
      </c>
      <c r="D11" s="274" t="str" cm="1">
        <f t="array" ref="D11">_FV(B11,"Currency")&amp;" million"</f>
        <v>USD million</v>
      </c>
      <c r="E11" s="65">
        <f>+'Comps data'!E16</f>
        <v>7153.8590000000004</v>
      </c>
      <c r="F11" s="121">
        <v>2882.9</v>
      </c>
      <c r="G11" s="121">
        <v>1567.2</v>
      </c>
      <c r="H11" s="32">
        <f t="shared" si="0"/>
        <v>1315.7</v>
      </c>
      <c r="I11" s="121">
        <v>0</v>
      </c>
      <c r="J11" s="121">
        <v>44.5</v>
      </c>
      <c r="K11" s="121">
        <v>0</v>
      </c>
      <c r="L11" s="32">
        <f t="shared" si="1"/>
        <v>8514.0590000000011</v>
      </c>
      <c r="M11" s="239">
        <f t="shared" si="2"/>
        <v>0.18391472350796961</v>
      </c>
      <c r="N11" s="121">
        <v>1.43</v>
      </c>
      <c r="O11" s="32">
        <f t="shared" si="3"/>
        <v>1.2866666666666666</v>
      </c>
      <c r="P11" s="238">
        <v>0.21</v>
      </c>
      <c r="Q11" s="32">
        <f t="shared" si="4"/>
        <v>1.1234392252235232</v>
      </c>
    </row>
    <row r="12" spans="1:17" ht="19" customHeight="1">
      <c r="B12" s="275" t="s">
        <v>216</v>
      </c>
      <c r="C12" s="275"/>
      <c r="D12" s="276"/>
      <c r="E12" s="275"/>
      <c r="F12" s="275"/>
      <c r="G12" s="275"/>
      <c r="H12" s="275"/>
      <c r="I12" s="275"/>
      <c r="J12" s="275"/>
      <c r="K12" s="275"/>
      <c r="L12" s="277"/>
      <c r="M12" s="240">
        <f>AVERAGE(M6:M11)</f>
        <v>0.20080614249144321</v>
      </c>
      <c r="N12" s="278">
        <f>AVERAGE(N6:N11)</f>
        <v>1.2998333333333332</v>
      </c>
      <c r="O12" s="279"/>
      <c r="P12" s="275"/>
      <c r="Q12" s="402">
        <f>AVERAGE(Q6:Q11)</f>
        <v>1.0611241323387917</v>
      </c>
    </row>
    <row r="13" spans="1:17">
      <c r="M13" s="234"/>
    </row>
    <row r="14" spans="1:17">
      <c r="B14" s="318" t="e" vm="7">
        <v>#VALUE!</v>
      </c>
      <c r="C14" s="318" t="s">
        <v>212</v>
      </c>
      <c r="D14" s="318" t="str" cm="1">
        <f t="array" ref="D14">_FV(B14,"Currency")&amp;" million"</f>
        <v>EUR million</v>
      </c>
      <c r="E14" s="319">
        <f>+'Comps data'!E26</f>
        <v>13314.226562999998</v>
      </c>
      <c r="F14" s="319">
        <v>912.78</v>
      </c>
      <c r="G14" s="319">
        <v>882.25</v>
      </c>
      <c r="H14" s="320">
        <f>+F14-G14</f>
        <v>30.529999999999973</v>
      </c>
      <c r="I14" s="319">
        <v>0.1</v>
      </c>
      <c r="J14" s="319">
        <v>4.3</v>
      </c>
      <c r="K14" s="267">
        <v>0</v>
      </c>
      <c r="L14" s="299">
        <f>E14+H14+I14+J14</f>
        <v>13349.156562999999</v>
      </c>
      <c r="M14" s="321">
        <f>+H14/(E14+I14+K14)</f>
        <v>2.2930187160078879E-3</v>
      </c>
      <c r="N14" s="322">
        <v>1.08</v>
      </c>
      <c r="O14" s="323">
        <f>2/3*N14+1/3</f>
        <v>1.0533333333333332</v>
      </c>
      <c r="P14" s="324">
        <v>0.24</v>
      </c>
      <c r="Q14" s="323">
        <f>Q12*(1+M14*(1-P14))</f>
        <v>1.0629733472353418</v>
      </c>
    </row>
    <row r="17" spans="2:10">
      <c r="E17" s="280"/>
      <c r="F17" s="280"/>
      <c r="G17" s="280"/>
      <c r="H17" s="281"/>
    </row>
    <row r="18" spans="2:10">
      <c r="B18" s="500" t="s">
        <v>217</v>
      </c>
      <c r="C18" s="500"/>
      <c r="D18" s="500"/>
      <c r="J18" s="282"/>
    </row>
    <row r="20" spans="2:10">
      <c r="B20" s="274" t="s">
        <v>218</v>
      </c>
      <c r="C20" s="282"/>
      <c r="D20" s="283">
        <f>+M12</f>
        <v>0.20080614249144321</v>
      </c>
      <c r="E20"/>
      <c r="F20"/>
      <c r="G20"/>
      <c r="H20"/>
      <c r="I20"/>
    </row>
    <row r="21" spans="2:10">
      <c r="B21" s="274" t="s">
        <v>219</v>
      </c>
      <c r="C21" s="282"/>
      <c r="D21" s="284">
        <f>+E14</f>
        <v>13314.226562999998</v>
      </c>
      <c r="E21"/>
      <c r="F21"/>
      <c r="G21"/>
      <c r="H21"/>
      <c r="I21"/>
    </row>
    <row r="22" spans="2:10">
      <c r="B22" s="274" t="s">
        <v>220</v>
      </c>
      <c r="C22" s="282"/>
      <c r="D22" s="285">
        <f>H14</f>
        <v>30.529999999999973</v>
      </c>
      <c r="E22"/>
      <c r="F22"/>
      <c r="G22"/>
      <c r="H22"/>
      <c r="I22"/>
    </row>
    <row r="23" spans="2:10">
      <c r="B23" s="274" t="s">
        <v>221</v>
      </c>
      <c r="C23" s="282"/>
      <c r="D23" s="448">
        <v>-0.1125</v>
      </c>
      <c r="E23"/>
      <c r="F23"/>
      <c r="G23"/>
      <c r="H23"/>
      <c r="I23"/>
    </row>
    <row r="24" spans="2:10">
      <c r="B24" s="287" t="s">
        <v>222</v>
      </c>
      <c r="C24" s="288"/>
      <c r="D24" s="435">
        <v>0.1</v>
      </c>
      <c r="E24"/>
      <c r="F24"/>
      <c r="G24"/>
      <c r="H24"/>
      <c r="I24"/>
    </row>
    <row r="25" spans="2:10">
      <c r="B25" s="289" t="s">
        <v>223</v>
      </c>
      <c r="C25" s="290"/>
      <c r="D25" s="291">
        <f>D24</f>
        <v>0.1</v>
      </c>
    </row>
    <row r="26" spans="2:10">
      <c r="C26" s="282"/>
      <c r="D26" s="283"/>
    </row>
    <row r="27" spans="2:10">
      <c r="B27" s="274" t="s">
        <v>224</v>
      </c>
      <c r="C27" s="282"/>
      <c r="D27" s="448">
        <v>1.06E-2</v>
      </c>
    </row>
    <row r="28" spans="2:10">
      <c r="B28" s="274" t="s">
        <v>225</v>
      </c>
      <c r="C28" s="293"/>
      <c r="D28" s="294">
        <f>Q12</f>
        <v>1.0611241323387917</v>
      </c>
    </row>
    <row r="29" spans="2:10">
      <c r="B29" s="274" t="s">
        <v>226</v>
      </c>
      <c r="C29" s="282"/>
      <c r="D29" s="449">
        <v>0.24</v>
      </c>
    </row>
    <row r="30" spans="2:10">
      <c r="B30" s="274" t="s">
        <v>227</v>
      </c>
      <c r="C30" s="293"/>
      <c r="D30" s="294">
        <f>D28*(1+(1-D29)*D25)</f>
        <v>1.1417695663965399</v>
      </c>
    </row>
    <row r="31" spans="2:10">
      <c r="B31" s="287" t="s">
        <v>228</v>
      </c>
      <c r="C31" s="288"/>
      <c r="D31" s="450">
        <v>6.4199999999999993E-2</v>
      </c>
    </row>
    <row r="32" spans="2:10">
      <c r="B32" s="289" t="s">
        <v>229</v>
      </c>
      <c r="C32" s="290"/>
      <c r="D32" s="291">
        <f>+D27+D30*D31</f>
        <v>8.3901606162657849E-2</v>
      </c>
    </row>
    <row r="34" spans="2:13">
      <c r="B34" s="264" t="s">
        <v>230</v>
      </c>
      <c r="C34" s="295"/>
      <c r="D34" s="296">
        <f>+D27+D28*D31</f>
        <v>7.872416929615042E-2</v>
      </c>
    </row>
    <row r="36" spans="2:13">
      <c r="B36" s="500" t="s">
        <v>231</v>
      </c>
      <c r="C36" s="500"/>
      <c r="D36" s="500"/>
    </row>
    <row r="38" spans="2:13">
      <c r="B38" s="274" t="s">
        <v>224</v>
      </c>
      <c r="C38" s="282"/>
      <c r="D38" s="292">
        <f>D27</f>
        <v>1.06E-2</v>
      </c>
    </row>
    <row r="39" spans="2:13">
      <c r="B39" s="274" t="s">
        <v>232</v>
      </c>
      <c r="C39" s="282"/>
      <c r="D39" s="297">
        <f>774.547/30.753</f>
        <v>25.186063148310733</v>
      </c>
    </row>
    <row r="40" spans="2:13">
      <c r="B40" s="287" t="s">
        <v>233</v>
      </c>
      <c r="C40" s="288"/>
      <c r="D40" s="437">
        <v>6.8999999999999999E-3</v>
      </c>
    </row>
    <row r="41" spans="2:13">
      <c r="B41" s="289" t="s">
        <v>231</v>
      </c>
      <c r="C41" s="290"/>
      <c r="D41" s="291">
        <f>+D38+D40</f>
        <v>1.7500000000000002E-2</v>
      </c>
    </row>
    <row r="42" spans="2:13">
      <c r="M42" s="283"/>
    </row>
    <row r="43" spans="2:13">
      <c r="B43" s="500" t="s">
        <v>234</v>
      </c>
      <c r="C43" s="500"/>
      <c r="D43" s="500"/>
    </row>
    <row r="44" spans="2:13">
      <c r="D44" s="283"/>
    </row>
    <row r="45" spans="2:13">
      <c r="B45" s="274" t="s">
        <v>235</v>
      </c>
      <c r="D45" s="292">
        <f>+D25/(1+D25)</f>
        <v>9.0909090909090912E-2</v>
      </c>
    </row>
    <row r="46" spans="2:13">
      <c r="B46" s="274" t="s">
        <v>236</v>
      </c>
      <c r="D46" s="292">
        <f>1-D45</f>
        <v>0.90909090909090906</v>
      </c>
    </row>
    <row r="47" spans="2:13">
      <c r="B47" s="264" t="s">
        <v>234</v>
      </c>
      <c r="C47" s="264"/>
      <c r="D47" s="298">
        <f>+D41*(1-D29)*D45+D32*D46</f>
        <v>7.7483278329688945E-2</v>
      </c>
      <c r="M47" s="283"/>
    </row>
    <row r="49" spans="3:18">
      <c r="C49"/>
      <c r="D49"/>
      <c r="E49"/>
      <c r="F49"/>
      <c r="G49"/>
      <c r="H49"/>
      <c r="I49"/>
      <c r="J49"/>
      <c r="K49"/>
      <c r="L49"/>
      <c r="M49"/>
      <c r="N49"/>
      <c r="O49"/>
      <c r="P49"/>
      <c r="Q49"/>
      <c r="R49"/>
    </row>
    <row r="50" spans="3:18">
      <c r="C50"/>
      <c r="D50"/>
      <c r="E50"/>
      <c r="F50"/>
      <c r="G50"/>
      <c r="H50"/>
      <c r="I50"/>
      <c r="J50"/>
      <c r="K50"/>
      <c r="L50"/>
      <c r="M50"/>
      <c r="N50"/>
      <c r="O50"/>
      <c r="P50"/>
      <c r="Q50"/>
      <c r="R50"/>
    </row>
    <row r="51" spans="3:18">
      <c r="C51"/>
      <c r="D51"/>
      <c r="E51"/>
      <c r="F51"/>
      <c r="G51"/>
      <c r="H51"/>
      <c r="I51"/>
      <c r="J51"/>
      <c r="K51"/>
      <c r="L51"/>
      <c r="M51"/>
      <c r="N51"/>
      <c r="O51"/>
      <c r="P51"/>
      <c r="Q51"/>
      <c r="R51"/>
    </row>
    <row r="52" spans="3:18">
      <c r="C52"/>
      <c r="D52"/>
      <c r="E52"/>
      <c r="F52"/>
      <c r="G52"/>
      <c r="H52"/>
      <c r="I52"/>
      <c r="J52"/>
      <c r="K52"/>
      <c r="L52"/>
      <c r="M52"/>
      <c r="N52"/>
      <c r="O52"/>
      <c r="P52"/>
      <c r="Q52"/>
      <c r="R52"/>
    </row>
    <row r="53" spans="3:18">
      <c r="C53"/>
      <c r="D53"/>
      <c r="E53"/>
      <c r="F53"/>
      <c r="G53"/>
      <c r="H53"/>
      <c r="I53"/>
      <c r="J53"/>
      <c r="K53"/>
      <c r="L53"/>
      <c r="M53"/>
      <c r="N53"/>
      <c r="O53"/>
      <c r="P53"/>
      <c r="Q53"/>
      <c r="R53"/>
    </row>
    <row r="54" spans="3:18" ht="15.5" customHeight="1">
      <c r="C54"/>
      <c r="D54"/>
      <c r="E54"/>
      <c r="F54"/>
      <c r="G54"/>
      <c r="H54"/>
      <c r="I54"/>
      <c r="J54"/>
      <c r="K54"/>
      <c r="L54"/>
      <c r="M54"/>
      <c r="N54"/>
      <c r="O54"/>
      <c r="P54"/>
      <c r="Q54"/>
      <c r="R54"/>
    </row>
    <row r="55" spans="3:18">
      <c r="C55"/>
      <c r="D55"/>
      <c r="E55"/>
      <c r="F55"/>
      <c r="G55"/>
      <c r="H55"/>
      <c r="I55"/>
      <c r="J55"/>
      <c r="K55"/>
      <c r="L55"/>
      <c r="M55"/>
      <c r="N55"/>
      <c r="O55"/>
      <c r="P55"/>
      <c r="Q55"/>
      <c r="R55"/>
    </row>
    <row r="56" spans="3:18">
      <c r="C56"/>
      <c r="D56"/>
      <c r="E56"/>
      <c r="F56"/>
      <c r="G56"/>
      <c r="H56"/>
      <c r="I56"/>
      <c r="J56"/>
      <c r="K56"/>
      <c r="L56"/>
      <c r="M56"/>
      <c r="N56"/>
      <c r="O56"/>
      <c r="P56"/>
      <c r="Q56"/>
      <c r="R56"/>
    </row>
    <row r="57" spans="3:18">
      <c r="C57"/>
      <c r="D57"/>
      <c r="E57"/>
      <c r="F57"/>
      <c r="G57"/>
      <c r="H57"/>
      <c r="I57"/>
      <c r="J57"/>
      <c r="K57"/>
      <c r="L57"/>
      <c r="M57"/>
      <c r="N57"/>
      <c r="O57"/>
      <c r="P57"/>
      <c r="Q57"/>
      <c r="R57"/>
    </row>
    <row r="58" spans="3:18">
      <c r="C58"/>
      <c r="D58"/>
      <c r="E58"/>
      <c r="F58"/>
      <c r="G58"/>
      <c r="H58"/>
      <c r="I58"/>
      <c r="J58"/>
      <c r="K58"/>
      <c r="L58"/>
      <c r="M58"/>
      <c r="N58"/>
      <c r="O58"/>
      <c r="P58"/>
      <c r="Q58"/>
      <c r="R58"/>
    </row>
    <row r="59" spans="3:18">
      <c r="C59"/>
      <c r="D59"/>
      <c r="E59"/>
      <c r="F59"/>
      <c r="G59"/>
      <c r="H59"/>
      <c r="I59"/>
      <c r="J59"/>
      <c r="K59"/>
      <c r="L59"/>
      <c r="M59"/>
      <c r="N59"/>
      <c r="O59"/>
      <c r="P59"/>
      <c r="Q59"/>
      <c r="R59"/>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C83F-0408-4A2B-B050-65CE4906A969}">
  <sheetPr>
    <tabColor rgb="FFFFFF00"/>
  </sheetPr>
  <dimension ref="A2:R53"/>
  <sheetViews>
    <sheetView showGridLines="0" zoomScale="153" workbookViewId="0">
      <selection activeCell="D47" sqref="D47"/>
    </sheetView>
  </sheetViews>
  <sheetFormatPr baseColWidth="10" defaultColWidth="9" defaultRowHeight="15"/>
  <cols>
    <col min="1" max="1" width="9" style="229"/>
    <col min="2" max="2" width="51.25" style="229" customWidth="1"/>
    <col min="3" max="3" width="28.75" style="229" bestFit="1" customWidth="1"/>
    <col min="4" max="4" width="16" style="229" bestFit="1" customWidth="1"/>
    <col min="5" max="5" width="16.75" style="229" customWidth="1"/>
    <col min="6" max="6" width="17.25" style="229" bestFit="1" customWidth="1"/>
    <col min="7" max="7" width="20.5" style="229" customWidth="1"/>
    <col min="8" max="8" width="11.5" style="229" bestFit="1" customWidth="1"/>
    <col min="9" max="9" width="14" style="229" bestFit="1" customWidth="1"/>
    <col min="10" max="10" width="13.5" style="229" customWidth="1"/>
    <col min="11" max="11" width="17.75" style="229" customWidth="1"/>
    <col min="12" max="12" width="13" style="229" bestFit="1" customWidth="1"/>
    <col min="13" max="13" width="18" style="229" customWidth="1"/>
    <col min="14" max="14" width="21.5" style="229" customWidth="1"/>
    <col min="15" max="15" width="17.75" style="229" bestFit="1" customWidth="1"/>
    <col min="16" max="16" width="9.75" style="229" customWidth="1"/>
    <col min="17" max="17" width="14" style="229" customWidth="1"/>
    <col min="18" max="16384" width="9" style="229"/>
  </cols>
  <sheetData>
    <row r="2" spans="1:18" ht="21.75" customHeight="1">
      <c r="A2" s="495"/>
      <c r="B2" s="496" t="s">
        <v>237</v>
      </c>
      <c r="C2" s="495"/>
      <c r="D2" s="495"/>
      <c r="E2" s="495"/>
      <c r="F2" s="495"/>
      <c r="G2" s="495"/>
      <c r="H2" s="495"/>
      <c r="I2" s="495"/>
      <c r="J2" s="495"/>
      <c r="K2" s="495"/>
      <c r="L2" s="495"/>
      <c r="M2" s="495"/>
      <c r="N2" s="495"/>
      <c r="O2" s="495"/>
      <c r="P2" s="495"/>
      <c r="Q2" s="495"/>
    </row>
    <row r="3" spans="1:18">
      <c r="C3" s="230"/>
      <c r="D3" s="230"/>
      <c r="E3" s="231"/>
      <c r="F3" s="231"/>
      <c r="G3" s="231"/>
      <c r="H3" s="231"/>
      <c r="I3" s="231"/>
      <c r="J3" s="231"/>
      <c r="K3" s="231"/>
      <c r="L3" s="231"/>
      <c r="M3" s="231"/>
      <c r="N3" s="231"/>
      <c r="O3" s="231"/>
    </row>
    <row r="4" spans="1:18" ht="31.5" customHeight="1">
      <c r="B4" s="501"/>
      <c r="C4" s="498" t="s">
        <v>201</v>
      </c>
      <c r="D4" s="498" t="s">
        <v>202</v>
      </c>
      <c r="E4" s="498" t="s">
        <v>203</v>
      </c>
      <c r="F4" s="498" t="s">
        <v>204</v>
      </c>
      <c r="G4" s="498" t="s">
        <v>531</v>
      </c>
      <c r="H4" s="498" t="s">
        <v>139</v>
      </c>
      <c r="I4" s="498" t="s">
        <v>142</v>
      </c>
      <c r="J4" s="498" t="s">
        <v>205</v>
      </c>
      <c r="K4" s="498" t="s">
        <v>206</v>
      </c>
      <c r="L4" s="498" t="s">
        <v>207</v>
      </c>
      <c r="M4" s="498" t="s">
        <v>208</v>
      </c>
      <c r="N4" s="498" t="s">
        <v>209</v>
      </c>
      <c r="O4" s="498" t="s">
        <v>210</v>
      </c>
      <c r="P4" s="499" t="s">
        <v>100</v>
      </c>
      <c r="Q4" s="498" t="s">
        <v>211</v>
      </c>
    </row>
    <row r="5" spans="1:18" ht="14.5" customHeight="1">
      <c r="B5" s="232"/>
    </row>
    <row r="6" spans="1:18" s="274" customFormat="1" ht="14.5" customHeight="1">
      <c r="B6" s="273" t="e" vm="1">
        <v>#VALUE!</v>
      </c>
      <c r="C6" s="274" t="s">
        <v>212</v>
      </c>
      <c r="D6" s="274" t="str" cm="1">
        <f t="array" ref="D6">_FV(B6,"Currency")&amp;" million"</f>
        <v>EUR million</v>
      </c>
      <c r="E6" s="65">
        <f>+'[1]Comps data'!E10</f>
        <v>941.70800000000008</v>
      </c>
      <c r="F6" s="121">
        <v>719.1</v>
      </c>
      <c r="G6" s="121">
        <v>167.7</v>
      </c>
      <c r="H6" s="32">
        <f t="shared" ref="H6:H11" si="0">+F6-G6</f>
        <v>551.40000000000009</v>
      </c>
      <c r="I6" s="121">
        <v>0</v>
      </c>
      <c r="J6" s="121">
        <v>6.9</v>
      </c>
      <c r="K6" s="121">
        <v>0</v>
      </c>
      <c r="L6" s="32">
        <f t="shared" ref="L6:L11" si="1">E6+H6+I6+J6</f>
        <v>1500.0080000000003</v>
      </c>
      <c r="M6" s="233">
        <f t="shared" ref="M6:M11" si="2">+H6/(E6+I6+K6)</f>
        <v>0.58553182090414446</v>
      </c>
      <c r="N6" s="121">
        <v>0.87</v>
      </c>
      <c r="O6" s="32">
        <f t="shared" ref="O6:O11" si="3">2/3*N6+1/3</f>
        <v>0.91333333333333333</v>
      </c>
      <c r="P6" s="238">
        <v>0.24</v>
      </c>
      <c r="Q6" s="32">
        <f>O6/(1+(M6)*(1-P6))</f>
        <v>0.63206276045264498</v>
      </c>
    </row>
    <row r="7" spans="1:18" s="274" customFormat="1" ht="14.5" customHeight="1">
      <c r="B7" s="274" t="e" vm="2">
        <v>#VALUE!</v>
      </c>
      <c r="C7" s="274" t="s">
        <v>213</v>
      </c>
      <c r="D7" s="274" t="str" cm="1">
        <f t="array" ref="D7">_FV(B7,"Currency")&amp;" million"</f>
        <v>GBp million</v>
      </c>
      <c r="E7" s="65">
        <f>+'[1]Comps data'!E11</f>
        <v>7900.3540000000003</v>
      </c>
      <c r="F7" s="121">
        <v>1486</v>
      </c>
      <c r="G7" s="121">
        <v>1026</v>
      </c>
      <c r="H7" s="32">
        <f t="shared" si="0"/>
        <v>460</v>
      </c>
      <c r="I7" s="121">
        <v>0.16</v>
      </c>
      <c r="J7" s="121">
        <v>0</v>
      </c>
      <c r="K7" s="121">
        <v>0</v>
      </c>
      <c r="L7" s="32">
        <f t="shared" si="1"/>
        <v>8360.5139999999992</v>
      </c>
      <c r="M7" s="233">
        <f t="shared" si="2"/>
        <v>5.8224059852308344E-2</v>
      </c>
      <c r="N7" s="121">
        <v>1.26</v>
      </c>
      <c r="O7" s="32">
        <f t="shared" si="3"/>
        <v>1.1733333333333333</v>
      </c>
      <c r="P7" s="238">
        <v>0.25</v>
      </c>
      <c r="Q7" s="32">
        <f t="shared" ref="Q7:Q11" si="4">O7/(1+(M7)*(1-P7))</f>
        <v>1.1242399717794023</v>
      </c>
    </row>
    <row r="8" spans="1:18" s="274" customFormat="1" ht="14.5" customHeight="1">
      <c r="B8" s="274" t="e" vm="3">
        <v>#VALUE!</v>
      </c>
      <c r="C8" s="274" t="s">
        <v>212</v>
      </c>
      <c r="D8" s="274" t="str" cm="1">
        <f t="array" ref="D8">_FV(B8,"Currency")&amp;" million"</f>
        <v>EUR million</v>
      </c>
      <c r="E8" s="65">
        <f>+'[1]Comps data'!E14</f>
        <v>2742.2869999999998</v>
      </c>
      <c r="F8" s="121">
        <v>604.59</v>
      </c>
      <c r="G8" s="121">
        <v>401.61</v>
      </c>
      <c r="H8" s="32">
        <f t="shared" si="0"/>
        <v>202.98000000000002</v>
      </c>
      <c r="I8" s="121">
        <v>23.6</v>
      </c>
      <c r="J8" s="121">
        <v>7.59</v>
      </c>
      <c r="K8" s="121">
        <v>0</v>
      </c>
      <c r="L8" s="32">
        <f t="shared" si="1"/>
        <v>2976.4569999999999</v>
      </c>
      <c r="M8" s="233">
        <f t="shared" si="2"/>
        <v>7.3386946032140882E-2</v>
      </c>
      <c r="N8" s="121">
        <v>1.32</v>
      </c>
      <c r="O8" s="32">
        <f t="shared" si="3"/>
        <v>1.2133333333333334</v>
      </c>
      <c r="P8" s="238">
        <v>0.24</v>
      </c>
      <c r="Q8" s="32">
        <f t="shared" si="4"/>
        <v>1.1492357668986022</v>
      </c>
    </row>
    <row r="9" spans="1:18" s="274" customFormat="1" ht="14.5" customHeight="1">
      <c r="B9" s="274" t="e" vm="4">
        <v>#VALUE!</v>
      </c>
      <c r="C9" s="274" t="s">
        <v>212</v>
      </c>
      <c r="D9" s="274" t="str" cm="1">
        <f t="array" ref="D9">_FV(B9,"Currency")&amp;" million"</f>
        <v>EUR million</v>
      </c>
      <c r="E9" s="65">
        <f>+'[1]Comps data'!E13</f>
        <v>4698.7999999999993</v>
      </c>
      <c r="F9" s="121">
        <v>686.39</v>
      </c>
      <c r="G9" s="121">
        <v>117.51</v>
      </c>
      <c r="H9" s="32">
        <f t="shared" si="0"/>
        <v>568.88</v>
      </c>
      <c r="I9" s="121">
        <v>10.4</v>
      </c>
      <c r="J9" s="121">
        <v>3.06</v>
      </c>
      <c r="K9" s="121">
        <v>0</v>
      </c>
      <c r="L9" s="32">
        <f t="shared" si="1"/>
        <v>5281.1399999999994</v>
      </c>
      <c r="M9" s="233">
        <f t="shared" si="2"/>
        <v>0.12080183470653193</v>
      </c>
      <c r="N9" s="121">
        <v>1.1200000000000001</v>
      </c>
      <c r="O9" s="32">
        <f t="shared" si="3"/>
        <v>1.08</v>
      </c>
      <c r="P9" s="238">
        <v>0.24</v>
      </c>
      <c r="Q9" s="32">
        <f t="shared" si="4"/>
        <v>0.98918364832013272</v>
      </c>
    </row>
    <row r="10" spans="1:18" s="274" customFormat="1" ht="14.5" customHeight="1">
      <c r="B10" s="274" t="e" vm="5">
        <v>#VALUE!</v>
      </c>
      <c r="C10" s="274" t="s">
        <v>214</v>
      </c>
      <c r="D10" s="274" t="str" cm="1">
        <f t="array" ref="D10">_FV(B10,"Currency")&amp;" million"</f>
        <v>USD million</v>
      </c>
      <c r="E10" s="65">
        <f>+'[1]Comps data'!E15</f>
        <v>1881.9826999999998</v>
      </c>
      <c r="F10" s="121">
        <v>557.14</v>
      </c>
      <c r="G10" s="121">
        <v>211.7</v>
      </c>
      <c r="H10" s="32">
        <f t="shared" si="0"/>
        <v>345.44</v>
      </c>
      <c r="I10" s="121">
        <v>5.9</v>
      </c>
      <c r="J10" s="121">
        <v>0</v>
      </c>
      <c r="K10" s="121">
        <v>0</v>
      </c>
      <c r="L10" s="32">
        <f t="shared" si="1"/>
        <v>2233.3226999999997</v>
      </c>
      <c r="M10" s="233">
        <f t="shared" si="2"/>
        <v>0.18297746994556388</v>
      </c>
      <c r="N10" s="121" cm="1">
        <f t="array" ref="N10">_FV(B10,"Beta")</f>
        <v>1.7989999999999999</v>
      </c>
      <c r="O10" s="32">
        <f t="shared" si="3"/>
        <v>1.5326666666666664</v>
      </c>
      <c r="P10" s="238">
        <v>0.254</v>
      </c>
      <c r="Q10" s="32">
        <f t="shared" si="4"/>
        <v>1.348583421358444</v>
      </c>
    </row>
    <row r="11" spans="1:18" s="274" customFormat="1" ht="14.5" customHeight="1">
      <c r="B11" s="274" t="e" vm="6">
        <v>#VALUE!</v>
      </c>
      <c r="C11" s="274" t="s">
        <v>215</v>
      </c>
      <c r="D11" s="274" t="str" cm="1">
        <f t="array" ref="D11">_FV(B11,"Currency")&amp;" million"</f>
        <v>USD million</v>
      </c>
      <c r="E11" s="65">
        <f>+'[1]Comps data'!E16</f>
        <v>7153.8590000000004</v>
      </c>
      <c r="F11" s="121">
        <v>2882.9</v>
      </c>
      <c r="G11" s="121">
        <v>1567.2</v>
      </c>
      <c r="H11" s="32">
        <f t="shared" si="0"/>
        <v>1315.7</v>
      </c>
      <c r="I11" s="121">
        <v>0</v>
      </c>
      <c r="J11" s="121">
        <v>44.5</v>
      </c>
      <c r="K11" s="121">
        <v>0</v>
      </c>
      <c r="L11" s="32">
        <f t="shared" si="1"/>
        <v>8514.0590000000011</v>
      </c>
      <c r="M11" s="239">
        <f t="shared" si="2"/>
        <v>0.18391472350796961</v>
      </c>
      <c r="N11" s="121">
        <v>1.43</v>
      </c>
      <c r="O11" s="32">
        <f t="shared" si="3"/>
        <v>1.2866666666666666</v>
      </c>
      <c r="P11" s="238">
        <v>0.21</v>
      </c>
      <c r="Q11" s="32">
        <f t="shared" si="4"/>
        <v>1.1234392252235232</v>
      </c>
    </row>
    <row r="12" spans="1:18" s="274" customFormat="1" ht="14.5" customHeight="1">
      <c r="B12" s="275" t="s">
        <v>216</v>
      </c>
      <c r="C12" s="275"/>
      <c r="D12" s="276"/>
      <c r="E12" s="275"/>
      <c r="F12" s="275"/>
      <c r="G12" s="275"/>
      <c r="H12" s="275"/>
      <c r="I12" s="275"/>
      <c r="J12" s="275"/>
      <c r="K12" s="275"/>
      <c r="L12" s="277"/>
      <c r="M12" s="240">
        <f>AVERAGE(M6:M11)</f>
        <v>0.20080614249144321</v>
      </c>
      <c r="N12" s="278">
        <f>AVERAGE(N6:N11)</f>
        <v>1.2998333333333332</v>
      </c>
      <c r="O12" s="279"/>
      <c r="P12" s="275"/>
      <c r="Q12" s="402">
        <f>AVERAGE(Q6:Q11)</f>
        <v>1.0611241323387917</v>
      </c>
    </row>
    <row r="13" spans="1:18" s="274" customFormat="1" ht="14.5" customHeight="1">
      <c r="M13" s="234"/>
    </row>
    <row r="14" spans="1:18" s="274" customFormat="1" ht="14.5" customHeight="1">
      <c r="B14" s="264" t="e" vm="7">
        <v>#VALUE!</v>
      </c>
      <c r="C14" s="264" t="s">
        <v>212</v>
      </c>
      <c r="D14" s="264" t="str" cm="1">
        <f t="array" ref="D14">_FV(B14,"Currency")&amp;" million"</f>
        <v>EUR million</v>
      </c>
      <c r="E14" s="265">
        <f>+'[1]Comps data'!E26</f>
        <v>13314.226562999998</v>
      </c>
      <c r="F14" s="265">
        <v>912.78</v>
      </c>
      <c r="G14" s="265">
        <v>882.25</v>
      </c>
      <c r="H14" s="266">
        <f>+F14-G14</f>
        <v>30.529999999999973</v>
      </c>
      <c r="I14" s="265">
        <v>0.1</v>
      </c>
      <c r="J14" s="265">
        <v>4.3</v>
      </c>
      <c r="K14" s="267">
        <v>0</v>
      </c>
      <c r="L14" s="268">
        <f>E14+H14+I14+J14</f>
        <v>13349.156562999999</v>
      </c>
      <c r="M14" s="269">
        <f>+H14/(E14+I14+K14)</f>
        <v>2.2930187160078879E-3</v>
      </c>
      <c r="N14" s="270">
        <v>1.08</v>
      </c>
      <c r="O14" s="271">
        <f>2/3*N14+1/3</f>
        <v>1.0533333333333332</v>
      </c>
      <c r="P14" s="272">
        <v>0.24</v>
      </c>
      <c r="Q14" s="271">
        <f>Q12*(1+M14*(1-P14))</f>
        <v>1.0629733472353418</v>
      </c>
      <c r="R14" s="264"/>
    </row>
    <row r="15" spans="1:18" s="274" customFormat="1" ht="14.5" customHeight="1"/>
    <row r="16" spans="1:18" s="274" customFormat="1" ht="14.5" customHeight="1"/>
    <row r="17" spans="2:10" s="274" customFormat="1" ht="14.5" customHeight="1">
      <c r="E17" s="280"/>
      <c r="F17" s="280"/>
      <c r="G17" s="280"/>
      <c r="H17" s="281"/>
    </row>
    <row r="18" spans="2:10" s="274" customFormat="1" ht="14.5" customHeight="1">
      <c r="B18" s="500" t="s">
        <v>217</v>
      </c>
      <c r="C18" s="500"/>
      <c r="D18" s="500"/>
      <c r="J18" s="282"/>
    </row>
    <row r="19" spans="2:10" s="274" customFormat="1" ht="14.5" customHeight="1"/>
    <row r="20" spans="2:10" s="274" customFormat="1" ht="14.5" customHeight="1">
      <c r="B20" s="274" t="s">
        <v>218</v>
      </c>
      <c r="C20" s="282"/>
      <c r="D20" s="283">
        <f>+M12</f>
        <v>0.20080614249144321</v>
      </c>
    </row>
    <row r="21" spans="2:10" s="274" customFormat="1" ht="14.5" customHeight="1">
      <c r="B21" s="274" t="s">
        <v>219</v>
      </c>
      <c r="C21" s="282"/>
      <c r="D21" s="284">
        <f>+E14</f>
        <v>13314.226562999998</v>
      </c>
      <c r="F21"/>
      <c r="G21"/>
      <c r="H21"/>
      <c r="I21"/>
    </row>
    <row r="22" spans="2:10" s="274" customFormat="1" ht="14.5" customHeight="1">
      <c r="B22" s="274" t="s">
        <v>220</v>
      </c>
      <c r="C22" s="282"/>
      <c r="D22" s="285">
        <f>H14</f>
        <v>30.529999999999973</v>
      </c>
      <c r="F22"/>
      <c r="G22"/>
      <c r="H22"/>
      <c r="I22"/>
    </row>
    <row r="23" spans="2:10" s="274" customFormat="1" ht="14.5" customHeight="1">
      <c r="B23" s="274" t="s">
        <v>221</v>
      </c>
      <c r="C23" s="282"/>
      <c r="D23" s="448">
        <v>-0.1125</v>
      </c>
      <c r="F23"/>
      <c r="G23"/>
      <c r="H23"/>
      <c r="I23"/>
    </row>
    <row r="24" spans="2:10" s="274" customFormat="1" ht="14.5" customHeight="1">
      <c r="B24" s="287" t="s">
        <v>222</v>
      </c>
      <c r="C24" s="288"/>
      <c r="D24" s="438">
        <v>0.1</v>
      </c>
      <c r="E24" s="286"/>
    </row>
    <row r="25" spans="2:10" s="274" customFormat="1" ht="14.5" customHeight="1">
      <c r="B25" s="289" t="s">
        <v>223</v>
      </c>
      <c r="C25" s="290"/>
      <c r="D25" s="291">
        <f>D20</f>
        <v>0.20080614249144321</v>
      </c>
    </row>
    <row r="26" spans="2:10" s="274" customFormat="1" ht="14.5" customHeight="1">
      <c r="C26" s="282"/>
      <c r="D26" s="283"/>
    </row>
    <row r="27" spans="2:10" s="274" customFormat="1" ht="14.5" customHeight="1">
      <c r="B27" s="274" t="s">
        <v>224</v>
      </c>
      <c r="C27" s="282"/>
      <c r="D27" s="448">
        <v>1.06E-2</v>
      </c>
    </row>
    <row r="28" spans="2:10" s="274" customFormat="1" ht="14.5" customHeight="1">
      <c r="B28" s="274" t="s">
        <v>225</v>
      </c>
      <c r="C28" s="293"/>
      <c r="D28" s="294">
        <f>Q12</f>
        <v>1.0611241323387917</v>
      </c>
    </row>
    <row r="29" spans="2:10" s="274" customFormat="1" ht="14.5" customHeight="1">
      <c r="B29" s="274" t="s">
        <v>226</v>
      </c>
      <c r="C29" s="282"/>
      <c r="D29" s="448">
        <v>0.24</v>
      </c>
    </row>
    <row r="30" spans="2:10" s="274" customFormat="1" ht="14.5" customHeight="1">
      <c r="B30" s="274" t="s">
        <v>227</v>
      </c>
      <c r="C30" s="293"/>
      <c r="D30" s="439">
        <v>1</v>
      </c>
    </row>
    <row r="31" spans="2:10" s="274" customFormat="1" ht="14.5" customHeight="1">
      <c r="B31" s="287" t="s">
        <v>228</v>
      </c>
      <c r="C31" s="288"/>
      <c r="D31" s="450">
        <v>6.4199999999999993E-2</v>
      </c>
    </row>
    <row r="32" spans="2:10" s="274" customFormat="1" ht="14.5" customHeight="1">
      <c r="B32" s="289" t="s">
        <v>229</v>
      </c>
      <c r="C32" s="290"/>
      <c r="D32" s="291">
        <f>+D27+D30*D31</f>
        <v>7.4799999999999991E-2</v>
      </c>
    </row>
    <row r="33" spans="2:13" s="274" customFormat="1" ht="14.5" customHeight="1"/>
    <row r="34" spans="2:13" s="274" customFormat="1" ht="14.5" customHeight="1">
      <c r="B34" s="264" t="s">
        <v>230</v>
      </c>
      <c r="C34" s="295"/>
      <c r="D34" s="296">
        <f>+D27+D28*D31</f>
        <v>7.872416929615042E-2</v>
      </c>
    </row>
    <row r="35" spans="2:13" s="274" customFormat="1" ht="14.5" customHeight="1"/>
    <row r="36" spans="2:13" s="274" customFormat="1" ht="14.5" customHeight="1">
      <c r="B36" s="500" t="s">
        <v>231</v>
      </c>
      <c r="C36" s="500"/>
      <c r="D36" s="500"/>
    </row>
    <row r="37" spans="2:13" s="274" customFormat="1" ht="14.5" customHeight="1"/>
    <row r="38" spans="2:13" s="274" customFormat="1" ht="14.5" customHeight="1">
      <c r="B38" s="274" t="s">
        <v>224</v>
      </c>
      <c r="C38" s="282"/>
      <c r="D38" s="292">
        <f>D27</f>
        <v>1.06E-2</v>
      </c>
    </row>
    <row r="39" spans="2:13" s="274" customFormat="1" ht="14.5" customHeight="1">
      <c r="B39" s="274" t="s">
        <v>232</v>
      </c>
      <c r="C39" s="282"/>
      <c r="D39" s="297">
        <f>774.547/30.753</f>
        <v>25.186063148310733</v>
      </c>
    </row>
    <row r="40" spans="2:13" s="274" customFormat="1" ht="14.5" customHeight="1">
      <c r="B40" s="287" t="s">
        <v>233</v>
      </c>
      <c r="C40" s="288"/>
      <c r="D40" s="437">
        <v>6.8999999999999999E-3</v>
      </c>
    </row>
    <row r="41" spans="2:13" s="274" customFormat="1" ht="14.5" customHeight="1">
      <c r="B41" s="289" t="s">
        <v>231</v>
      </c>
      <c r="C41" s="290"/>
      <c r="D41" s="291">
        <f>+D38+D40</f>
        <v>1.7500000000000002E-2</v>
      </c>
    </row>
    <row r="42" spans="2:13" s="274" customFormat="1" ht="14.5" customHeight="1">
      <c r="M42" s="283"/>
    </row>
    <row r="43" spans="2:13" s="274" customFormat="1" ht="14.5" customHeight="1">
      <c r="B43" s="500" t="s">
        <v>234</v>
      </c>
      <c r="C43" s="500"/>
      <c r="D43" s="500"/>
    </row>
    <row r="44" spans="2:13" s="274" customFormat="1" ht="14.5" customHeight="1">
      <c r="D44" s="283"/>
    </row>
    <row r="45" spans="2:13" s="274" customFormat="1" ht="14.5" customHeight="1">
      <c r="B45" s="274" t="s">
        <v>235</v>
      </c>
      <c r="D45" s="292">
        <f>+D25/(1+D25)</f>
        <v>0.16722611201405821</v>
      </c>
    </row>
    <row r="46" spans="2:13" s="274" customFormat="1" ht="14.5" customHeight="1">
      <c r="B46" s="274" t="s">
        <v>236</v>
      </c>
      <c r="D46" s="292">
        <f>1-D45</f>
        <v>0.83277388798594176</v>
      </c>
    </row>
    <row r="47" spans="2:13" s="274" customFormat="1" ht="14.5" customHeight="1">
      <c r="B47" s="264" t="s">
        <v>234</v>
      </c>
      <c r="C47" s="264"/>
      <c r="D47" s="436">
        <f>+D41*(1-D29)*D45+D32*D46</f>
        <v>6.4515594111135402E-2</v>
      </c>
      <c r="M47" s="283"/>
    </row>
    <row r="48" spans="2:13" s="274" customFormat="1" ht="14.5" customHeight="1"/>
    <row r="50" s="274" customFormat="1" ht="14.5" customHeight="1"/>
    <row r="51" s="274" customFormat="1" ht="14.5" customHeight="1"/>
    <row r="52" s="274" customFormat="1" ht="14.5" customHeight="1"/>
    <row r="53" ht="14.5" customHeight="1"/>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P37"/>
  <sheetViews>
    <sheetView showGridLines="0" zoomScale="165" zoomScaleNormal="120" workbookViewId="0">
      <pane ySplit="3" topLeftCell="A4" activePane="bottomLeft" state="frozen"/>
      <selection activeCell="N59" sqref="N59"/>
      <selection pane="bottomLeft" activeCell="E23" sqref="E23"/>
    </sheetView>
  </sheetViews>
  <sheetFormatPr baseColWidth="10" defaultColWidth="10.75" defaultRowHeight="13" customHeight="1"/>
  <cols>
    <col min="1" max="1" width="16.75" customWidth="1"/>
    <col min="2" max="2" width="27.5" customWidth="1"/>
  </cols>
  <sheetData>
    <row r="1" spans="1:16" ht="13" customHeight="1">
      <c r="B1" s="5"/>
      <c r="E1" s="24"/>
      <c r="G1" s="24"/>
      <c r="L1" s="24"/>
    </row>
    <row r="2" spans="1:16" ht="21.5" customHeight="1">
      <c r="A2" s="495"/>
      <c r="B2" s="502" t="s">
        <v>238</v>
      </c>
      <c r="C2" s="495"/>
      <c r="D2" s="495"/>
      <c r="E2" s="495"/>
      <c r="F2" s="495"/>
      <c r="G2" s="495"/>
      <c r="H2" s="495"/>
      <c r="I2" s="495"/>
      <c r="L2" s="24"/>
    </row>
    <row r="3" spans="1:16" ht="13" customHeight="1">
      <c r="B3" s="2"/>
      <c r="C3" s="16"/>
      <c r="D3" s="16"/>
      <c r="E3" s="30"/>
      <c r="F3" s="30"/>
      <c r="G3" s="30"/>
      <c r="H3" s="30"/>
      <c r="I3" s="30"/>
      <c r="J3" s="30"/>
      <c r="K3" s="30"/>
      <c r="L3" s="30"/>
      <c r="M3" s="30"/>
    </row>
    <row r="4" spans="1:16" s="6" customFormat="1" ht="23" customHeight="1">
      <c r="B4" s="8"/>
      <c r="D4" s="524" t="s">
        <v>239</v>
      </c>
      <c r="E4" s="524"/>
      <c r="F4" s="524" t="s">
        <v>240</v>
      </c>
      <c r="G4" s="524"/>
      <c r="H4" s="185"/>
      <c r="I4" s="300" t="s">
        <v>241</v>
      </c>
      <c r="O4" s="19"/>
      <c r="P4"/>
    </row>
    <row r="5" spans="1:16" s="6" customFormat="1" ht="13" customHeight="1">
      <c r="B5" s="487" t="s">
        <v>242</v>
      </c>
      <c r="C5" s="503">
        <v>2027</v>
      </c>
      <c r="D5" s="483"/>
      <c r="E5" s="483" t="s">
        <v>243</v>
      </c>
      <c r="F5" s="483"/>
      <c r="G5" s="483" t="s">
        <v>243</v>
      </c>
      <c r="H5" s="483"/>
      <c r="I5" s="483" t="s">
        <v>243</v>
      </c>
      <c r="P5"/>
    </row>
    <row r="6" spans="1:16" s="6" customFormat="1" ht="5" customHeight="1">
      <c r="B6" s="8"/>
      <c r="P6"/>
    </row>
    <row r="7" spans="1:16" s="6" customFormat="1" ht="13" customHeight="1">
      <c r="B7" s="8" t="s">
        <v>76</v>
      </c>
      <c r="C7" s="32">
        <f>Restatements!N10</f>
        <v>4443.7108717016336</v>
      </c>
      <c r="D7" s="32"/>
      <c r="E7" s="32"/>
      <c r="F7" s="32"/>
      <c r="G7" s="32">
        <f>+C7*(1+$E$19)</f>
        <v>4541.4725108790699</v>
      </c>
      <c r="H7" s="32"/>
      <c r="I7" s="32"/>
      <c r="P7"/>
    </row>
    <row r="8" spans="1:16" s="6" customFormat="1" ht="13" customHeight="1">
      <c r="B8" s="38" t="s">
        <v>80</v>
      </c>
      <c r="C8" s="39">
        <f>Restatements!N16</f>
        <v>1821.9214573976697</v>
      </c>
      <c r="D8" s="39"/>
      <c r="E8" s="39"/>
      <c r="F8" s="39"/>
      <c r="G8" s="39">
        <f>+G7*E20</f>
        <v>1862.0037294604185</v>
      </c>
      <c r="H8" s="39"/>
      <c r="I8" s="39"/>
      <c r="P8"/>
    </row>
    <row r="9" spans="1:16" s="6" customFormat="1" ht="13" customHeight="1">
      <c r="B9" s="8" t="s">
        <v>244</v>
      </c>
      <c r="C9" s="32">
        <f>Restatements!N19+Restatements!N20</f>
        <v>-591.14491272049077</v>
      </c>
      <c r="D9" s="32"/>
      <c r="E9" s="32"/>
      <c r="F9" s="32"/>
      <c r="G9" s="32">
        <f>G15</f>
        <v>-612.66038067802231</v>
      </c>
      <c r="H9" s="32"/>
      <c r="I9" s="32"/>
      <c r="P9"/>
    </row>
    <row r="10" spans="1:16" s="6" customFormat="1" ht="13" customHeight="1">
      <c r="B10" s="38" t="s">
        <v>84</v>
      </c>
      <c r="C10" s="39">
        <f>+C8+C9</f>
        <v>1230.7765446771789</v>
      </c>
      <c r="D10" s="39"/>
      <c r="E10" s="39"/>
      <c r="F10" s="39"/>
      <c r="G10" s="39">
        <f>SUM(G8:G9)</f>
        <v>1249.3433487823963</v>
      </c>
      <c r="H10" s="39"/>
      <c r="I10" s="39"/>
      <c r="P10"/>
    </row>
    <row r="11" spans="1:16" s="6" customFormat="1" ht="13" customHeight="1">
      <c r="B11" s="8" t="s">
        <v>157</v>
      </c>
      <c r="C11" s="32">
        <f>+-C10*SUM(Restatements!$N$47:$N$48)</f>
        <v>-343.38665596493286</v>
      </c>
      <c r="D11" s="32"/>
      <c r="E11" s="32"/>
      <c r="F11" s="32"/>
      <c r="G11" s="32">
        <f>+-G10*SUM(Restatements!$N$47:$N$48)</f>
        <v>-348.56679431028851</v>
      </c>
      <c r="H11" s="32"/>
      <c r="I11" s="32"/>
      <c r="P11"/>
    </row>
    <row r="12" spans="1:16" s="6" customFormat="1" ht="13" customHeight="1">
      <c r="B12" s="12" t="s">
        <v>158</v>
      </c>
      <c r="C12" s="122">
        <f>+C10+C11</f>
        <v>887.38988871224603</v>
      </c>
      <c r="D12" s="122"/>
      <c r="E12" s="122">
        <f>+Restatements!N120*(1+$E$19)</f>
        <v>906.91246626391546</v>
      </c>
      <c r="F12" s="122"/>
      <c r="G12" s="122">
        <f>+SUM(G10:G11)</f>
        <v>900.77655447210782</v>
      </c>
      <c r="H12" s="122"/>
      <c r="I12" s="122"/>
      <c r="P12"/>
    </row>
    <row r="13" spans="1:16" s="6" customFormat="1" ht="13" customHeight="1">
      <c r="B13" s="8" t="s">
        <v>244</v>
      </c>
      <c r="C13" s="32">
        <f>-C9</f>
        <v>591.14491272049077</v>
      </c>
      <c r="D13" s="32"/>
      <c r="E13" s="32"/>
      <c r="F13" s="32"/>
      <c r="G13" s="32">
        <f>-G9</f>
        <v>612.66038067802231</v>
      </c>
      <c r="H13" s="32"/>
      <c r="I13" s="32"/>
      <c r="P13"/>
    </row>
    <row r="14" spans="1:16" s="6" customFormat="1" ht="13" customHeight="1">
      <c r="B14" s="8" t="s">
        <v>160</v>
      </c>
      <c r="C14" s="32">
        <f>Restatements!N125</f>
        <v>4.4713448171305004</v>
      </c>
      <c r="D14" s="32"/>
      <c r="E14" s="32"/>
      <c r="F14" s="32"/>
      <c r="G14" s="32">
        <v>0</v>
      </c>
      <c r="H14" s="32"/>
      <c r="I14" s="32"/>
      <c r="P14"/>
    </row>
    <row r="15" spans="1:16" s="6" customFormat="1" ht="13" customHeight="1">
      <c r="B15" s="8" t="s">
        <v>183</v>
      </c>
      <c r="C15" s="32">
        <f>Restatements!N126+Restatements!N127</f>
        <v>-599.47199674953254</v>
      </c>
      <c r="D15" s="32"/>
      <c r="E15" s="32"/>
      <c r="F15" s="32"/>
      <c r="G15" s="32">
        <f>-E21*G7</f>
        <v>-612.66038067802231</v>
      </c>
      <c r="H15" s="32"/>
      <c r="I15" s="32"/>
      <c r="P15"/>
    </row>
    <row r="16" spans="1:16" s="6" customFormat="1" ht="13" customHeight="1">
      <c r="B16" s="12" t="s">
        <v>163</v>
      </c>
      <c r="C16" s="33">
        <f>+SUM(C12:C15)</f>
        <v>883.53414950033493</v>
      </c>
      <c r="D16" s="33"/>
      <c r="E16" s="33">
        <f>+E12*(1-E23)</f>
        <v>854.41007172911475</v>
      </c>
      <c r="F16" s="33"/>
      <c r="G16" s="33">
        <f>+SUM(G12:G15)</f>
        <v>900.7765544721077</v>
      </c>
      <c r="H16" s="33"/>
      <c r="I16" s="33">
        <f>+C16*(1+E19)</f>
        <v>902.97190078934227</v>
      </c>
      <c r="P16"/>
    </row>
    <row r="17" spans="2:16" s="6" customFormat="1" ht="13" customHeight="1">
      <c r="B17" s="8"/>
      <c r="C17" s="19">
        <f>+C16-Restatements!N128</f>
        <v>0</v>
      </c>
      <c r="D17" s="19"/>
      <c r="F17" s="19"/>
      <c r="G17" s="19"/>
      <c r="H17" s="19"/>
      <c r="I17" s="19"/>
      <c r="P17"/>
    </row>
    <row r="18" spans="2:16" s="6" customFormat="1" ht="13" customHeight="1">
      <c r="B18" s="20" t="s">
        <v>245</v>
      </c>
      <c r="C18" s="127"/>
      <c r="D18" s="127"/>
      <c r="E18" s="127"/>
      <c r="F18" s="19"/>
      <c r="G18" s="19"/>
      <c r="H18" s="19"/>
      <c r="I18" s="19"/>
      <c r="P18"/>
    </row>
    <row r="19" spans="2:16" s="6" customFormat="1" ht="13" customHeight="1">
      <c r="B19" s="8" t="s">
        <v>246</v>
      </c>
      <c r="E19" s="86">
        <f>+DCF!F10</f>
        <v>2.1999999999999999E-2</v>
      </c>
      <c r="P19"/>
    </row>
    <row r="20" spans="2:16" s="6" customFormat="1" ht="13" customHeight="1">
      <c r="B20" s="8" t="s">
        <v>247</v>
      </c>
      <c r="E20" s="86">
        <f>+C8/C7</f>
        <v>0.41</v>
      </c>
      <c r="P20"/>
    </row>
    <row r="21" spans="2:16" s="6" customFormat="1" ht="13" customHeight="1">
      <c r="B21" s="8" t="s">
        <v>248</v>
      </c>
      <c r="E21" s="86">
        <f>-(C15)/C7</f>
        <v>0.13490346560733288</v>
      </c>
      <c r="P21"/>
    </row>
    <row r="22" spans="2:16" s="6" customFormat="1" ht="13" customHeight="1">
      <c r="B22" s="8" t="s">
        <v>249</v>
      </c>
      <c r="E22" s="86">
        <f>+(Restatements!N21*(1-(Restatements!N30/Restatements!N28)))/AVERAGE(Restatements!M77:N77)</f>
        <v>0.38002217679007139</v>
      </c>
      <c r="P22"/>
    </row>
    <row r="23" spans="2:16" s="6" customFormat="1" ht="13" customHeight="1">
      <c r="B23" s="8" t="s">
        <v>250</v>
      </c>
      <c r="E23" s="86">
        <f>+E19/E22</f>
        <v>5.7891358303947225E-2</v>
      </c>
      <c r="P23"/>
    </row>
    <row r="24" spans="2:16" s="6" customFormat="1" ht="13" customHeight="1">
      <c r="B24" s="8"/>
      <c r="P24"/>
    </row>
    <row r="25" spans="2:16" s="6" customFormat="1" ht="13" customHeight="1">
      <c r="B25" s="8"/>
      <c r="P25"/>
    </row>
    <row r="26" spans="2:16" s="6" customFormat="1" ht="13" customHeight="1">
      <c r="B26" s="8"/>
      <c r="P26"/>
    </row>
    <row r="27" spans="2:16" s="6" customFormat="1" ht="13" customHeight="1">
      <c r="B27" s="8"/>
      <c r="P27"/>
    </row>
    <row r="28" spans="2:16" s="6" customFormat="1" ht="13" customHeight="1">
      <c r="B28" s="8"/>
      <c r="P28"/>
    </row>
    <row r="29" spans="2:16" s="6" customFormat="1" ht="13" customHeight="1">
      <c r="B29" s="8"/>
      <c r="P29"/>
    </row>
    <row r="30" spans="2:16" s="6" customFormat="1" ht="13" customHeight="1">
      <c r="B30" s="8"/>
      <c r="P30"/>
    </row>
    <row r="31" spans="2:16" s="6" customFormat="1" ht="13" customHeight="1">
      <c r="B31" s="8"/>
      <c r="P31"/>
    </row>
    <row r="32" spans="2:16" s="6" customFormat="1" ht="13" customHeight="1">
      <c r="B32" s="8"/>
      <c r="P32"/>
    </row>
    <row r="33" spans="2:16" s="6" customFormat="1" ht="13" customHeight="1">
      <c r="B33" s="8"/>
      <c r="P33"/>
    </row>
    <row r="34" spans="2:16" s="6" customFormat="1" ht="13" customHeight="1">
      <c r="B34" s="8"/>
      <c r="P34"/>
    </row>
    <row r="35" spans="2:16" s="6" customFormat="1" ht="13" customHeight="1">
      <c r="B35" s="8"/>
      <c r="P35"/>
    </row>
    <row r="36" spans="2:16" s="6" customFormat="1" ht="13" customHeight="1">
      <c r="B36" s="8"/>
      <c r="P36"/>
    </row>
    <row r="37" spans="2:16" s="6" customFormat="1" ht="13" customHeight="1">
      <c r="B37" s="8"/>
      <c r="P37"/>
    </row>
  </sheetData>
  <mergeCells count="2">
    <mergeCell ref="F4:G4"/>
    <mergeCell ref="D4:E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DD51FFE9C84A441AC844C46B70FEFC3" ma:contentTypeVersion="10" ma:contentTypeDescription="Creare un nuovo documento." ma:contentTypeScope="" ma:versionID="aa79ab37aaf00c859a6b1ce71e99c661">
  <xsd:schema xmlns:xsd="http://www.w3.org/2001/XMLSchema" xmlns:xs="http://www.w3.org/2001/XMLSchema" xmlns:p="http://schemas.microsoft.com/office/2006/metadata/properties" xmlns:ns2="ace4dee4-4d7a-4815-862b-2672b80567dc" xmlns:ns3="271f3c24-6274-4ba4-b98e-43db698baede" targetNamespace="http://schemas.microsoft.com/office/2006/metadata/properties" ma:root="true" ma:fieldsID="bb82a31f41fe670911774edc4428ba9f" ns2:_="" ns3:_="">
    <xsd:import namespace="ace4dee4-4d7a-4815-862b-2672b80567dc"/>
    <xsd:import namespace="271f3c24-6274-4ba4-b98e-43db698baed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e4dee4-4d7a-4815-862b-2672b80567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6b737b4c-a8da-4a75-ad10-761ea969293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1f3c24-6274-4ba4-b98e-43db698baed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248f8a7-d322-44a6-a708-f398fd87fb0b}" ma:internalName="TaxCatchAll" ma:showField="CatchAllData" ma:web="271f3c24-6274-4ba4-b98e-43db698bae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ce4dee4-4d7a-4815-862b-2672b80567dc">
      <Terms xmlns="http://schemas.microsoft.com/office/infopath/2007/PartnerControls"/>
    </lcf76f155ced4ddcb4097134ff3c332f>
    <TaxCatchAll xmlns="271f3c24-6274-4ba4-b98e-43db698baed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1AAC20-4D4A-4767-BB77-A5326EA86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e4dee4-4d7a-4815-862b-2672b80567dc"/>
    <ds:schemaRef ds:uri="271f3c24-6274-4ba4-b98e-43db698bae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643696-CDDA-497F-8D9C-C98686F80700}">
  <ds:schemaRefs>
    <ds:schemaRef ds:uri="http://schemas.microsoft.com/office/2006/metadata/properties"/>
    <ds:schemaRef ds:uri="http://schemas.microsoft.com/office/infopath/2007/PartnerControls"/>
    <ds:schemaRef ds:uri="ace4dee4-4d7a-4815-862b-2672b80567dc"/>
    <ds:schemaRef ds:uri="271f3c24-6274-4ba4-b98e-43db698baede"/>
  </ds:schemaRefs>
</ds:datastoreItem>
</file>

<file path=customXml/itemProps3.xml><?xml version="1.0" encoding="utf-8"?>
<ds:datastoreItem xmlns:ds="http://schemas.openxmlformats.org/officeDocument/2006/customXml" ds:itemID="{160A62A4-D379-4168-9918-8139CC471F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Cover &gt;&gt;&gt;</vt:lpstr>
      <vt:lpstr>Projections &gt;&gt;&gt;</vt:lpstr>
      <vt:lpstr>AsReported</vt:lpstr>
      <vt:lpstr>Restatements</vt:lpstr>
      <vt:lpstr>RevAssumptions</vt:lpstr>
      <vt:lpstr>Valuation &gt;&gt;&gt;</vt:lpstr>
      <vt:lpstr>WACC</vt:lpstr>
      <vt:lpstr>Terminal WACC</vt:lpstr>
      <vt:lpstr>TV</vt:lpstr>
      <vt:lpstr>DCF</vt:lpstr>
      <vt:lpstr>TradingMultiples</vt:lpstr>
      <vt:lpstr>FootballField</vt:lpstr>
      <vt:lpstr>FF_presentation</vt:lpstr>
      <vt:lpstr>Ratios Summary</vt:lpstr>
      <vt:lpstr>Graphs</vt:lpstr>
      <vt:lpstr>Comps data</vt:lpstr>
      <vt:lpstr>Benchmark</vt:lpstr>
      <vt:lpstr>SlidesBackup</vt:lpstr>
      <vt:lpstr>Backups</vt:lpstr>
      <vt:lpstr>DA Schedules</vt:lpstr>
      <vt:lpstr>SlidesBackup!Print_Area</vt:lpstr>
    </vt:vector>
  </TitlesOfParts>
  <Manager/>
  <Company>Deloitte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Ghezzi, Alberto Maria (IT - Milano)</dc:creator>
  <cp:keywords/>
  <dc:description/>
  <cp:lastModifiedBy>Christian Parlog</cp:lastModifiedBy>
  <cp:revision/>
  <dcterms:created xsi:type="dcterms:W3CDTF">2013-01-24T11:23:59Z</dcterms:created>
  <dcterms:modified xsi:type="dcterms:W3CDTF">2026-03-05T10:11:59Z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0x0101003DD51FFE9C84A441AC844C46B70FEFC3</vt:lpwstr>
  </property>
  <property fmtid="{D5CDD505-2E9C-101B-9397-08002B2CF9AE}" pid="3" name="MediaServiceImageTags">
    <vt:lpwstr/>
  </property>
</Properties>
</file>